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Conversions" sheetId="1" r:id="rId1"/>
  </sheets>
  <definedNames>
    <definedName name="Acceleration">'Conversions'!$B$43</definedName>
    <definedName name="Area">'Conversions'!#REF!</definedName>
    <definedName name="Data">'Conversions'!$B$73</definedName>
    <definedName name="Dry_Volume">'Conversions'!#REF!</definedName>
    <definedName name="Energy">'Conversions'!#REF!</definedName>
    <definedName name="Force">'Conversions'!#REF!</definedName>
    <definedName name="Length">'Conversions'!$B$4</definedName>
    <definedName name="Mass">'Conversions'!$B$14</definedName>
    <definedName name="Power">'Conversions'!#REF!</definedName>
    <definedName name="Temperature">'Conversions'!$B$22</definedName>
    <definedName name="Time">'Conversions'!$B$54</definedName>
    <definedName name="Updates">'Conversions'!$B$88</definedName>
    <definedName name="Velocity">'Conversions'!$B$29</definedName>
    <definedName name="Volume">'Conversions'!#REF!</definedName>
  </definedNames>
  <calcPr fullCalcOnLoad="1"/>
</workbook>
</file>

<file path=xl/comments1.xml><?xml version="1.0" encoding="utf-8"?>
<comments xmlns="http://schemas.openxmlformats.org/spreadsheetml/2006/main">
  <authors>
    <author>Bill Nale</author>
    <author>bdrach</author>
  </authors>
  <commentList>
    <comment ref="B68" authorId="0">
      <text>
        <r>
          <rPr>
            <sz val="10"/>
            <rFont val="Tahoma"/>
            <family val="0"/>
          </rPr>
          <t>defined here as 365 days, 5 hours, 48 minutes, and 46 seconds</t>
        </r>
      </text>
    </comment>
    <comment ref="B64" authorId="0">
      <text>
        <r>
          <rPr>
            <sz val="10"/>
            <rFont val="Tahoma"/>
            <family val="0"/>
          </rPr>
          <t>14 Days</t>
        </r>
      </text>
    </comment>
    <comment ref="B39" authorId="0">
      <text>
        <r>
          <rPr>
            <sz val="10"/>
            <rFont val="Tahoma"/>
            <family val="0"/>
          </rPr>
          <t>speed of light: exactly 299,792,458 m/s
The meter is officially defined by this number as of 1983</t>
        </r>
      </text>
    </comment>
    <comment ref="B34" authorId="0">
      <text>
        <r>
          <rPr>
            <sz val="10"/>
            <rFont val="Tahoma"/>
            <family val="0"/>
          </rPr>
          <t>nautical mile per hour</t>
        </r>
      </text>
    </comment>
    <comment ref="B35" authorId="0">
      <text>
        <r>
          <rPr>
            <sz val="10"/>
            <rFont val="Tahoma"/>
            <family val="0"/>
          </rPr>
          <t>Miles per hour * 8 * 24 * 14
(furlongs per mile * hours/day) * days per fortnight)</t>
        </r>
      </text>
    </comment>
    <comment ref="B50" authorId="0">
      <text>
        <r>
          <rPr>
            <sz val="10"/>
            <rFont val="Tahoma"/>
            <family val="0"/>
          </rPr>
          <t>9.80665 m/s/s exactly</t>
        </r>
      </text>
    </comment>
    <comment ref="L67" authorId="0">
      <text>
        <r>
          <rPr>
            <sz val="10"/>
            <rFont val="Tahoma"/>
            <family val="0"/>
          </rPr>
          <t xml:space="preserve">Kept at 12 months for each year type
</t>
        </r>
      </text>
    </comment>
    <comment ref="L68" authorId="0">
      <text>
        <r>
          <rPr>
            <sz val="10"/>
            <rFont val="Tahoma"/>
            <family val="0"/>
          </rPr>
          <t>Kept at 12 months for each year type</t>
        </r>
      </text>
    </comment>
    <comment ref="N65" authorId="0">
      <text>
        <r>
          <rPr>
            <sz val="10"/>
            <rFont val="Tahoma"/>
            <family val="0"/>
          </rPr>
          <t>Kept at 12 months for each year type</t>
        </r>
      </text>
    </comment>
    <comment ref="O65" authorId="0">
      <text>
        <r>
          <rPr>
            <sz val="10"/>
            <rFont val="Tahoma"/>
            <family val="0"/>
          </rPr>
          <t>Kept at 12 months for each year type</t>
        </r>
      </text>
    </comment>
    <comment ref="D6" authorId="1">
      <text>
        <r>
          <rPr>
            <b/>
            <sz val="8"/>
            <rFont val="Tahoma"/>
            <family val="0"/>
          </rPr>
          <t>HMFExpress:</t>
        </r>
        <r>
          <rPr>
            <sz val="8"/>
            <rFont val="Tahoma"/>
            <family val="0"/>
          </rPr>
          <t xml:space="preserve">
Enter "inches space fraction."
You can enter just the fraction.
Fraction can be no smaller than 1/10,000
</t>
        </r>
      </text>
    </comment>
  </commentList>
</comments>
</file>

<file path=xl/sharedStrings.xml><?xml version="1.0" encoding="utf-8"?>
<sst xmlns="http://schemas.openxmlformats.org/spreadsheetml/2006/main" count="176" uniqueCount="139">
  <si>
    <t>Length</t>
  </si>
  <si>
    <t>inches</t>
  </si>
  <si>
    <t>feet</t>
  </si>
  <si>
    <t>yards</t>
  </si>
  <si>
    <t>meters</t>
  </si>
  <si>
    <t>Mass</t>
  </si>
  <si>
    <t>Temperature</t>
  </si>
  <si>
    <t>Acceleration</t>
  </si>
  <si>
    <t>Time</t>
  </si>
  <si>
    <t>gram</t>
  </si>
  <si>
    <t>kilogram</t>
  </si>
  <si>
    <t>Degrees Kelvin</t>
  </si>
  <si>
    <t>Degrees Celsius</t>
  </si>
  <si>
    <t>Degrees Fahrenheit</t>
  </si>
  <si>
    <t>inches per second (ips)</t>
  </si>
  <si>
    <t>feet per second</t>
  </si>
  <si>
    <t>miles per second</t>
  </si>
  <si>
    <t>miles per hour (mph)</t>
  </si>
  <si>
    <t>meters per second</t>
  </si>
  <si>
    <t>kilometers per hour</t>
  </si>
  <si>
    <t>inches per second per second</t>
  </si>
  <si>
    <t>feet per second per second</t>
  </si>
  <si>
    <t>miles per hour per second</t>
  </si>
  <si>
    <t>meters per second per second</t>
  </si>
  <si>
    <t>kilometers per second per second</t>
  </si>
  <si>
    <t>kilometers per hour per second</t>
  </si>
  <si>
    <t>G (gravitational pull)</t>
  </si>
  <si>
    <t>Velocity</t>
  </si>
  <si>
    <t>seconds</t>
  </si>
  <si>
    <t>minutes</t>
  </si>
  <si>
    <t>hours</t>
  </si>
  <si>
    <t>days</t>
  </si>
  <si>
    <t>year (leap)</t>
  </si>
  <si>
    <t>nibble</t>
  </si>
  <si>
    <t>Data</t>
  </si>
  <si>
    <t>year (365 day)</t>
  </si>
  <si>
    <t>year (mean)</t>
  </si>
  <si>
    <t>Fortnight</t>
  </si>
  <si>
    <t>Furlongs per fortnight</t>
  </si>
  <si>
    <t>Note:</t>
  </si>
  <si>
    <t xml:space="preserve">  System memory and flash memory are generally manufactured in power of 2 data quantities, and confrom to the numbers above.</t>
  </si>
  <si>
    <t>c (speed of light)</t>
  </si>
  <si>
    <t>knot</t>
  </si>
  <si>
    <t>Metric</t>
  </si>
  <si>
    <t>English</t>
  </si>
  <si>
    <t>Note: year (mean) defined here as: defined here as 365 days, 5 hours, 48 minutes, and 46 seconds</t>
  </si>
  <si>
    <t>weeks</t>
  </si>
  <si>
    <t>months (1/12th yr (365 day, except for last 2)</t>
  </si>
  <si>
    <t>Months</t>
  </si>
  <si>
    <t>Engilsh</t>
  </si>
  <si>
    <t xml:space="preserve">  Disk drives are not manufactured in power of 2 data quantities, and are generally measured in base 10, where a megabyte=1,000,000 bytes, and a gigabyte=1,000,000,000 bytes as this allows the marketing department to quote slightly higher numbers.</t>
  </si>
  <si>
    <t>from
bits</t>
  </si>
  <si>
    <t>from
nibbles</t>
  </si>
  <si>
    <t>from
bytes</t>
  </si>
  <si>
    <t>from
kilobytes</t>
  </si>
  <si>
    <t>from
megabytes</t>
  </si>
  <si>
    <t>from
gigabytes</t>
  </si>
  <si>
    <t>from
terabytes</t>
  </si>
  <si>
    <t>from
ps</t>
  </si>
  <si>
    <t>from
ns</t>
  </si>
  <si>
    <t>from
microsecond</t>
  </si>
  <si>
    <t>from
ms</t>
  </si>
  <si>
    <t>from
seconds</t>
  </si>
  <si>
    <t>from
minutes</t>
  </si>
  <si>
    <t>from
hours</t>
  </si>
  <si>
    <t>from
days</t>
  </si>
  <si>
    <t>from
fortnights</t>
  </si>
  <si>
    <t>from
months</t>
  </si>
  <si>
    <t>from
leap years</t>
  </si>
  <si>
    <t>from
year (mean)</t>
  </si>
  <si>
    <t>from
years (365)</t>
  </si>
  <si>
    <t>picosecond (ps)</t>
  </si>
  <si>
    <t>nanosecond (ns)</t>
  </si>
  <si>
    <t>microsecond (us)</t>
  </si>
  <si>
    <t>millisecond (ms)</t>
  </si>
  <si>
    <t>kilobyte (KB)</t>
  </si>
  <si>
    <t>megabyte (MB)</t>
  </si>
  <si>
    <t>gigabyte (GB)</t>
  </si>
  <si>
    <t>terabyte (TB)</t>
  </si>
  <si>
    <t>bit (b)</t>
  </si>
  <si>
    <t>byte (B)</t>
  </si>
  <si>
    <t>kilometers per second</t>
  </si>
  <si>
    <t>from
ips</t>
  </si>
  <si>
    <t>from
fps</t>
  </si>
  <si>
    <t>from
miles/sec</t>
  </si>
  <si>
    <t>from
mph</t>
  </si>
  <si>
    <t>from
knots</t>
  </si>
  <si>
    <t>from
ful/fort</t>
  </si>
  <si>
    <t>from
m/s</t>
  </si>
  <si>
    <t>from
Km/s</t>
  </si>
  <si>
    <t>from
c</t>
  </si>
  <si>
    <t>from
i/s/s</t>
  </si>
  <si>
    <t>from
f/s/s</t>
  </si>
  <si>
    <t>from
mph/s</t>
  </si>
  <si>
    <t>from
m/s/s</t>
  </si>
  <si>
    <t>from
Km/s/s</t>
  </si>
  <si>
    <t>from
G</t>
  </si>
  <si>
    <t>from
Km/h/s</t>
  </si>
  <si>
    <t>feet per second (fps)</t>
  </si>
  <si>
    <t>All conversions are exact</t>
  </si>
  <si>
    <t>All conversions are exact, with the stated definitions</t>
  </si>
  <si>
    <t>Month to year conversion is defined as exactly 12, for all 3 year types.</t>
  </si>
  <si>
    <t>Fixed hyperlinks at the top.  The filename and sheet name were changed prior to publushing which broke the links.</t>
  </si>
  <si>
    <t>Updates</t>
  </si>
  <si>
    <t xml:space="preserve">Fixed definition of Nautical Mile.  It is exactly 1852 meters, not 6076 feet.  Fixed all formulas converting to and from. </t>
  </si>
  <si>
    <t>Fixed typo in the light year formulas.  The 48 minutes was multiplied by 600 instead of 60.  This was copied to all formulas to and from.  All have been fixed.</t>
  </si>
  <si>
    <t>Added Cubic Inches to the Dry Volume table, and changes the liter conversion factors to be based on the cubic inch conversions.  All are now exact.</t>
  </si>
  <si>
    <t>Changed comment on the Volume to indicate that the 231ci per gallon is exact.  Was listed as approximate previously.</t>
  </si>
  <si>
    <t>Changed the some of the pound/kilogram conversions from an ounce conversion to a pound conversion.  End result is exactly the same.</t>
  </si>
  <si>
    <t>miles</t>
  </si>
  <si>
    <t>centimeters (cm)</t>
  </si>
  <si>
    <t>kilometers (km)</t>
  </si>
  <si>
    <t xml:space="preserve">
inches</t>
  </si>
  <si>
    <t xml:space="preserve">
feet</t>
  </si>
  <si>
    <t xml:space="preserve">
yards</t>
  </si>
  <si>
    <t xml:space="preserve">
cm</t>
  </si>
  <si>
    <t xml:space="preserve">
meters</t>
  </si>
  <si>
    <t xml:space="preserve">
kilometers</t>
  </si>
  <si>
    <t xml:space="preserve">
ton</t>
  </si>
  <si>
    <t xml:space="preserve">
gram</t>
  </si>
  <si>
    <t xml:space="preserve">
kilogram</t>
  </si>
  <si>
    <t xml:space="preserve">
metric ton</t>
  </si>
  <si>
    <t xml:space="preserve">
ounce</t>
  </si>
  <si>
    <t xml:space="preserve">
pound</t>
  </si>
  <si>
    <t>ounce (av)</t>
  </si>
  <si>
    <t>pound (av)</t>
  </si>
  <si>
    <t>ton</t>
  </si>
  <si>
    <t>metric ton</t>
  </si>
  <si>
    <t xml:space="preserve">
Kelvin</t>
  </si>
  <si>
    <t xml:space="preserve">
Celsius</t>
  </si>
  <si>
    <t xml:space="preserve">
Fahrenheit</t>
  </si>
  <si>
    <t>inches (fraction)</t>
  </si>
  <si>
    <t>inches
(fractions)</t>
  </si>
  <si>
    <r>
      <t xml:space="preserve">Enter in the yellow box under the </t>
    </r>
    <r>
      <rPr>
        <b/>
        <u val="single"/>
        <sz val="10"/>
        <rFont val="Arial"/>
        <family val="2"/>
      </rPr>
      <t>column</t>
    </r>
    <r>
      <rPr>
        <sz val="10"/>
        <rFont val="Arial"/>
        <family val="2"/>
      </rPr>
      <t xml:space="preserve"> heading you want to convert from.  </t>
    </r>
  </si>
  <si>
    <r>
      <t xml:space="preserve">The conversion to other units appears in that </t>
    </r>
    <r>
      <rPr>
        <b/>
        <u val="single"/>
        <sz val="10"/>
        <rFont val="Arial"/>
        <family val="2"/>
      </rPr>
      <t>same column</t>
    </r>
    <r>
      <rPr>
        <sz val="10"/>
        <rFont val="Arial"/>
        <family val="0"/>
      </rPr>
      <t>.</t>
    </r>
  </si>
  <si>
    <t>For a more comprehensive, on-line conversion tool we suggest:</t>
  </si>
  <si>
    <t>http://www.digitaldutch.com/unitconverter/length.htm</t>
  </si>
  <si>
    <t>http://www.megaconverter.com/mega2/</t>
  </si>
  <si>
    <t>For ridiculously obsure conversions, we like: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</si>
</sst>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E+0"/>
    <numFmt numFmtId="165" formatCode="#,##0.000000"/>
    <numFmt numFmtId="166" formatCode="#,##0.00000"/>
    <numFmt numFmtId="167" formatCode="#,##0.0000"/>
    <numFmt numFmtId="168" formatCode="#,##0.0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>
        <color indexed="10"/>
      </left>
      <right style="medium"/>
      <top style="thick"/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/>
    </xf>
    <xf numFmtId="0" fontId="0" fillId="0" borderId="5" xfId="0" applyFill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165" fontId="10" fillId="3" borderId="8" xfId="0" applyNumberFormat="1" applyFont="1" applyFill="1" applyBorder="1" applyAlignment="1" applyProtection="1">
      <alignment/>
      <protection locked="0"/>
    </xf>
    <xf numFmtId="165" fontId="10" fillId="0" borderId="8" xfId="0" applyNumberFormat="1" applyFont="1" applyFill="1" applyBorder="1" applyAlignment="1" applyProtection="1">
      <alignment/>
      <protection/>
    </xf>
    <xf numFmtId="165" fontId="1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3" fontId="10" fillId="0" borderId="8" xfId="0" applyNumberFormat="1" applyFont="1" applyFill="1" applyBorder="1" applyAlignment="1" applyProtection="1">
      <alignment/>
      <protection/>
    </xf>
    <xf numFmtId="13" fontId="10" fillId="3" borderId="8" xfId="0" applyNumberFormat="1" applyFont="1" applyFill="1" applyBorder="1" applyAlignment="1" applyProtection="1">
      <alignment/>
      <protection locked="0"/>
    </xf>
    <xf numFmtId="13" fontId="10" fillId="0" borderId="8" xfId="0" applyNumberFormat="1" applyFont="1" applyFill="1" applyBorder="1" applyAlignment="1">
      <alignment/>
    </xf>
    <xf numFmtId="165" fontId="10" fillId="0" borderId="9" xfId="0" applyNumberFormat="1" applyFont="1" applyFill="1" applyBorder="1" applyAlignment="1">
      <alignment/>
    </xf>
    <xf numFmtId="165" fontId="10" fillId="3" borderId="9" xfId="0" applyNumberFormat="1" applyFont="1" applyFill="1" applyBorder="1" applyAlignment="1" applyProtection="1">
      <alignment/>
      <protection locked="0"/>
    </xf>
    <xf numFmtId="165" fontId="10" fillId="0" borderId="10" xfId="0" applyNumberFormat="1" applyFont="1" applyFill="1" applyBorder="1" applyAlignment="1">
      <alignment/>
    </xf>
    <xf numFmtId="165" fontId="10" fillId="3" borderId="10" xfId="0" applyNumberFormat="1" applyFont="1" applyFill="1" applyBorder="1" applyAlignment="1" applyProtection="1">
      <alignment/>
      <protection locked="0"/>
    </xf>
    <xf numFmtId="0" fontId="10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0" fillId="3" borderId="8" xfId="0" applyFont="1" applyFill="1" applyBorder="1" applyAlignment="1" applyProtection="1">
      <alignment/>
      <protection locked="0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14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0" fillId="3" borderId="10" xfId="0" applyFont="1" applyFill="1" applyBorder="1" applyAlignment="1" applyProtection="1">
      <alignment/>
      <protection locked="0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3" borderId="15" xfId="0" applyFont="1" applyFill="1" applyBorder="1" applyAlignment="1" applyProtection="1">
      <alignment/>
      <protection locked="0"/>
    </xf>
    <xf numFmtId="0" fontId="10" fillId="0" borderId="4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/>
    </xf>
    <xf numFmtId="0" fontId="10" fillId="2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2" borderId="2" xfId="0" applyFont="1" applyFill="1" applyBorder="1" applyAlignment="1">
      <alignment/>
    </xf>
    <xf numFmtId="0" fontId="11" fillId="0" borderId="21" xfId="0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0" fillId="4" borderId="14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3" borderId="22" xfId="0" applyFont="1" applyFill="1" applyBorder="1" applyAlignment="1" applyProtection="1">
      <alignment/>
      <protection locked="0"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11" xfId="0" applyNumberFormat="1" applyFont="1" applyBorder="1" applyAlignment="1">
      <alignment horizontal="center" wrapText="1"/>
    </xf>
    <xf numFmtId="166" fontId="10" fillId="0" borderId="7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7" fontId="10" fillId="3" borderId="8" xfId="0" applyNumberFormat="1" applyFont="1" applyFill="1" applyBorder="1" applyAlignment="1" applyProtection="1">
      <alignment/>
      <protection locked="0"/>
    </xf>
    <xf numFmtId="167" fontId="10" fillId="0" borderId="8" xfId="0" applyNumberFormat="1" applyFont="1" applyFill="1" applyBorder="1" applyAlignment="1">
      <alignment/>
    </xf>
    <xf numFmtId="167" fontId="10" fillId="0" borderId="8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7" fontId="10" fillId="3" borderId="10" xfId="0" applyNumberFormat="1" applyFont="1" applyFill="1" applyBorder="1" applyAlignment="1" applyProtection="1">
      <alignment/>
      <protection locked="0"/>
    </xf>
    <xf numFmtId="167" fontId="10" fillId="0" borderId="10" xfId="0" applyNumberFormat="1" applyFont="1" applyFill="1" applyBorder="1" applyAlignment="1">
      <alignment/>
    </xf>
    <xf numFmtId="167" fontId="10" fillId="3" borderId="25" xfId="0" applyNumberFormat="1" applyFont="1" applyFill="1" applyBorder="1" applyAlignment="1" applyProtection="1">
      <alignment/>
      <protection locked="0"/>
    </xf>
    <xf numFmtId="168" fontId="10" fillId="3" borderId="8" xfId="0" applyNumberFormat="1" applyFont="1" applyFill="1" applyBorder="1" applyAlignment="1" applyProtection="1">
      <alignment/>
      <protection locked="0"/>
    </xf>
    <xf numFmtId="168" fontId="10" fillId="0" borderId="8" xfId="0" applyNumberFormat="1" applyFont="1" applyBorder="1" applyAlignment="1">
      <alignment/>
    </xf>
    <xf numFmtId="168" fontId="10" fillId="0" borderId="8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10" fillId="3" borderId="10" xfId="0" applyNumberFormat="1" applyFont="1" applyFill="1" applyBorder="1" applyAlignment="1" applyProtection="1">
      <alignment/>
      <protection locked="0"/>
    </xf>
    <xf numFmtId="168" fontId="10" fillId="0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vertical="center" textRotation="180"/>
    </xf>
    <xf numFmtId="0" fontId="2" fillId="0" borderId="5" xfId="0" applyFont="1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2" xfId="0" applyFont="1" applyBorder="1" applyAlignment="1">
      <alignment horizontal="center" textRotation="180"/>
    </xf>
    <xf numFmtId="0" fontId="2" fillId="0" borderId="0" xfId="0" applyFont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dutch.com/unitconverter/length.htm" TargetMode="External" /><Relationship Id="rId2" Type="http://schemas.openxmlformats.org/officeDocument/2006/relationships/hyperlink" Target="http://www.megaconverter.com/mega2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13" width="10.7109375" style="0" customWidth="1"/>
    <col min="14" max="14" width="13.8515625" style="0" customWidth="1"/>
    <col min="15" max="15" width="14.140625" style="0" customWidth="1"/>
    <col min="16" max="20" width="12.421875" style="0" bestFit="1" customWidth="1"/>
    <col min="25" max="25" width="11.00390625" style="0" bestFit="1" customWidth="1"/>
  </cols>
  <sheetData>
    <row r="1" ht="12.75">
      <c r="A1" s="1" t="s">
        <v>133</v>
      </c>
    </row>
    <row r="2" spans="1:12" ht="12.75">
      <c r="A2" t="s">
        <v>134</v>
      </c>
      <c r="D2" s="82"/>
      <c r="L2" s="21"/>
    </row>
    <row r="3" ht="13.5" thickBot="1"/>
    <row r="4" spans="1:18" s="13" customFormat="1" ht="24" thickTop="1">
      <c r="A4" s="7" t="s">
        <v>0</v>
      </c>
      <c r="B4" s="7"/>
      <c r="C4" s="23" t="s">
        <v>112</v>
      </c>
      <c r="D4" s="23" t="s">
        <v>132</v>
      </c>
      <c r="E4" s="23" t="s">
        <v>113</v>
      </c>
      <c r="F4" s="23" t="s">
        <v>114</v>
      </c>
      <c r="G4" s="23" t="s">
        <v>109</v>
      </c>
      <c r="H4" s="23" t="s">
        <v>115</v>
      </c>
      <c r="I4" s="23" t="s">
        <v>116</v>
      </c>
      <c r="J4" s="23" t="s">
        <v>117</v>
      </c>
      <c r="K4" s="24"/>
      <c r="L4" s="25"/>
      <c r="M4" s="25"/>
      <c r="N4" s="25"/>
      <c r="O4" s="25"/>
      <c r="P4" s="25"/>
      <c r="Q4" s="25"/>
      <c r="R4" s="25"/>
    </row>
    <row r="5" spans="1:18" ht="12.75">
      <c r="A5" s="103"/>
      <c r="B5" s="2" t="s">
        <v>1</v>
      </c>
      <c r="C5" s="26">
        <v>84.0625</v>
      </c>
      <c r="D5" s="27">
        <f>D6</f>
        <v>84.0625</v>
      </c>
      <c r="E5" s="28">
        <f>E$7*12</f>
        <v>84.062500164</v>
      </c>
      <c r="F5" s="28">
        <f>F$8*36</f>
        <v>84.062500164</v>
      </c>
      <c r="G5" s="28">
        <f>G$9*5280*12</f>
        <v>84.0625001568</v>
      </c>
      <c r="H5" s="28">
        <f>H$10/2.54</f>
        <v>84.0625</v>
      </c>
      <c r="I5" s="28">
        <f>I$11/25.4*1000</f>
        <v>84.0625</v>
      </c>
      <c r="J5" s="28">
        <f>J$12/25.4*1000*1000</f>
        <v>84.0625</v>
      </c>
      <c r="K5" s="29"/>
      <c r="L5" s="30"/>
      <c r="M5" s="30"/>
      <c r="N5" s="30"/>
      <c r="O5" s="30"/>
      <c r="P5" s="30"/>
      <c r="Q5" s="30"/>
      <c r="R5" s="30"/>
    </row>
    <row r="6" spans="1:18" ht="12.75">
      <c r="A6" s="103"/>
      <c r="B6" s="2" t="s">
        <v>131</v>
      </c>
      <c r="C6" s="31">
        <f>C5</f>
        <v>84.0625</v>
      </c>
      <c r="D6" s="32">
        <v>84.0625</v>
      </c>
      <c r="E6" s="33">
        <f aca="true" t="shared" si="0" ref="E6:J6">E5</f>
        <v>84.062500164</v>
      </c>
      <c r="F6" s="33">
        <f t="shared" si="0"/>
        <v>84.062500164</v>
      </c>
      <c r="G6" s="33">
        <f t="shared" si="0"/>
        <v>84.0625001568</v>
      </c>
      <c r="H6" s="33">
        <f t="shared" si="0"/>
        <v>84.0625</v>
      </c>
      <c r="I6" s="33">
        <f t="shared" si="0"/>
        <v>84.0625</v>
      </c>
      <c r="J6" s="33">
        <f t="shared" si="0"/>
        <v>84.0625</v>
      </c>
      <c r="K6" s="29"/>
      <c r="L6" s="30"/>
      <c r="M6" s="30"/>
      <c r="N6" s="30"/>
      <c r="O6" s="30"/>
      <c r="P6" s="30"/>
      <c r="Q6" s="30"/>
      <c r="R6" s="30"/>
    </row>
    <row r="7" spans="1:18" ht="12.75">
      <c r="A7" s="103"/>
      <c r="B7" s="2" t="s">
        <v>2</v>
      </c>
      <c r="C7" s="28">
        <f>C$5/12</f>
        <v>7.005208333333333</v>
      </c>
      <c r="D7" s="28">
        <f>D$5/12</f>
        <v>7.005208333333333</v>
      </c>
      <c r="E7" s="26">
        <v>7.005208347</v>
      </c>
      <c r="F7" s="28">
        <f>F$8*3</f>
        <v>7.005208347</v>
      </c>
      <c r="G7" s="28">
        <f>G$9*5280</f>
        <v>7.0052083464</v>
      </c>
      <c r="H7" s="28">
        <f>H$10/2.54/12</f>
        <v>7.005208333333333</v>
      </c>
      <c r="I7" s="28">
        <f>I$11/25.4*1000/12</f>
        <v>7.005208333333333</v>
      </c>
      <c r="J7" s="28">
        <f>J$12/25.4*1000*1000/12</f>
        <v>7.005208333333333</v>
      </c>
      <c r="K7" s="30"/>
      <c r="L7" s="30"/>
      <c r="M7" s="30"/>
      <c r="N7" s="30"/>
      <c r="O7" s="30"/>
      <c r="P7" s="30"/>
      <c r="Q7" s="30"/>
      <c r="R7" s="30"/>
    </row>
    <row r="8" spans="1:18" ht="12.75">
      <c r="A8" s="103"/>
      <c r="B8" s="2" t="s">
        <v>3</v>
      </c>
      <c r="C8" s="28">
        <f>C$5/36</f>
        <v>2.3350694444444446</v>
      </c>
      <c r="D8" s="28">
        <f>D$5/36</f>
        <v>2.3350694444444446</v>
      </c>
      <c r="E8" s="28">
        <f>E$7/3</f>
        <v>2.335069449</v>
      </c>
      <c r="F8" s="26">
        <v>2.335069449</v>
      </c>
      <c r="G8" s="28">
        <f>G$9*1760</f>
        <v>2.3350694487999997</v>
      </c>
      <c r="H8" s="28">
        <f>H$10/2.54/36</f>
        <v>2.3350694444444446</v>
      </c>
      <c r="I8" s="28">
        <f>I$11/25.4*1000/36</f>
        <v>2.3350694444444446</v>
      </c>
      <c r="J8" s="28">
        <f>J$12/25.4*1000*1000/36</f>
        <v>2.3350694444444446</v>
      </c>
      <c r="K8" s="30"/>
      <c r="L8" s="30"/>
      <c r="M8" s="30"/>
      <c r="N8" s="30"/>
      <c r="O8" s="30"/>
      <c r="P8" s="30"/>
      <c r="Q8" s="30"/>
      <c r="R8" s="30"/>
    </row>
    <row r="9" spans="1:18" ht="13.5" thickBot="1">
      <c r="A9" s="103"/>
      <c r="B9" s="2" t="s">
        <v>109</v>
      </c>
      <c r="C9" s="28">
        <f>C$5/12/5280</f>
        <v>0.0013267440025252525</v>
      </c>
      <c r="D9" s="28">
        <f>D$5/12/5280</f>
        <v>0.0013267440025252525</v>
      </c>
      <c r="E9" s="28">
        <f>E$7/5280</f>
        <v>0.0013267440051136364</v>
      </c>
      <c r="F9" s="28">
        <f>F$8/1760</f>
        <v>0.0013267440051136364</v>
      </c>
      <c r="G9" s="26">
        <v>0.001326744005</v>
      </c>
      <c r="H9" s="28">
        <f>H$10/2.54/12/5280</f>
        <v>0.0013267440025252525</v>
      </c>
      <c r="I9" s="28">
        <f>I$11/25.4*1000/12/5280</f>
        <v>0.0013267440025252525</v>
      </c>
      <c r="J9" s="28">
        <f>J$12/25.4*1000*1000/12/5280</f>
        <v>0.0013267440025252525</v>
      </c>
      <c r="K9" s="30"/>
      <c r="L9" s="30"/>
      <c r="M9" s="30"/>
      <c r="N9" s="30"/>
      <c r="O9" s="30"/>
      <c r="P9" s="30"/>
      <c r="Q9" s="30"/>
      <c r="R9" s="30"/>
    </row>
    <row r="10" spans="1:18" ht="12.75">
      <c r="A10" s="104" t="s">
        <v>43</v>
      </c>
      <c r="B10" s="22" t="s">
        <v>110</v>
      </c>
      <c r="C10" s="34">
        <f>C$5*25.4/10</f>
        <v>213.51875</v>
      </c>
      <c r="D10" s="34">
        <f>D$5*25.4/10</f>
        <v>213.51875</v>
      </c>
      <c r="E10" s="34">
        <f>E$7*12*2.54</f>
        <v>213.51875041656</v>
      </c>
      <c r="F10" s="34">
        <f>F$8*36*2.54</f>
        <v>213.51875041656</v>
      </c>
      <c r="G10" s="34">
        <f>G$9*5280*12*2.54</f>
        <v>213.518750398272</v>
      </c>
      <c r="H10" s="35">
        <v>213.51875</v>
      </c>
      <c r="I10" s="34">
        <f>I$11*100</f>
        <v>213.51874999999998</v>
      </c>
      <c r="J10" s="34">
        <f>J$12*1000*100</f>
        <v>213.51874999999998</v>
      </c>
      <c r="K10" s="30"/>
      <c r="L10" s="30"/>
      <c r="M10" s="30"/>
      <c r="N10" s="30"/>
      <c r="O10" s="30"/>
      <c r="P10" s="30"/>
      <c r="Q10" s="30"/>
      <c r="R10" s="30"/>
    </row>
    <row r="11" spans="1:18" ht="12.75">
      <c r="A11" s="105"/>
      <c r="B11" s="8" t="s">
        <v>4</v>
      </c>
      <c r="C11" s="28">
        <f>C$5*25.4/1000</f>
        <v>2.1351875</v>
      </c>
      <c r="D11" s="28">
        <f>D$5*25.4/1000</f>
        <v>2.1351875</v>
      </c>
      <c r="E11" s="28">
        <f>E$7*12*25.4/1000</f>
        <v>2.1351875041655997</v>
      </c>
      <c r="F11" s="28">
        <f>F$8*36*25.4/1000</f>
        <v>2.1351875041655997</v>
      </c>
      <c r="G11" s="28">
        <f>G$9*5280*12*25.4/1000</f>
        <v>2.13518750398272</v>
      </c>
      <c r="H11" s="28">
        <f>H$10/100</f>
        <v>2.1351875000000002</v>
      </c>
      <c r="I11" s="26">
        <v>2.1351875</v>
      </c>
      <c r="J11" s="28">
        <f>J$12*1000</f>
        <v>2.1351875</v>
      </c>
      <c r="K11" s="30"/>
      <c r="L11" s="30"/>
      <c r="M11" s="30"/>
      <c r="N11" s="30"/>
      <c r="O11" s="30"/>
      <c r="P11" s="30"/>
      <c r="Q11" s="30"/>
      <c r="R11" s="30"/>
    </row>
    <row r="12" spans="1:18" s="13" customFormat="1" ht="13.5" thickBot="1">
      <c r="A12" s="106"/>
      <c r="B12" s="5" t="s">
        <v>111</v>
      </c>
      <c r="C12" s="36">
        <f>C$5*25.4/1000/1000</f>
        <v>0.0021351875</v>
      </c>
      <c r="D12" s="36">
        <f>D$5*25.4/1000/1000</f>
        <v>0.0021351875</v>
      </c>
      <c r="E12" s="36">
        <f>E$7*12*25.4/1000/1000</f>
        <v>0.0021351875041655997</v>
      </c>
      <c r="F12" s="36">
        <f>F$8*36*25.4/1000/1000</f>
        <v>0.0021351875041655997</v>
      </c>
      <c r="G12" s="36">
        <f>G$9*5280*12*25.4/1000/1000</f>
        <v>0.0021351875039827203</v>
      </c>
      <c r="H12" s="36">
        <f>H$10/100/1000</f>
        <v>0.0021351875000000004</v>
      </c>
      <c r="I12" s="36">
        <f>I$11/1000</f>
        <v>0.0021351875</v>
      </c>
      <c r="J12" s="37">
        <v>0.0021351875</v>
      </c>
      <c r="K12" s="25"/>
      <c r="L12" s="25"/>
      <c r="M12" s="25"/>
      <c r="N12" s="25"/>
      <c r="O12" s="25"/>
      <c r="P12" s="25"/>
      <c r="Q12" s="25"/>
      <c r="R12" s="25"/>
    </row>
    <row r="13" spans="3:18" ht="13.5" thickBot="1">
      <c r="C13" s="83"/>
      <c r="D13" s="83"/>
      <c r="E13" s="83"/>
      <c r="F13" s="83"/>
      <c r="G13" s="83"/>
      <c r="H13" s="83"/>
      <c r="I13" s="83"/>
      <c r="J13" s="83"/>
      <c r="K13" s="30"/>
      <c r="L13" s="30"/>
      <c r="M13" s="30"/>
      <c r="N13" s="30"/>
      <c r="O13" s="30"/>
      <c r="P13" s="30"/>
      <c r="Q13" s="30"/>
      <c r="R13" s="30"/>
    </row>
    <row r="14" spans="1:18" s="13" customFormat="1" ht="24.75" thickBot="1" thickTop="1">
      <c r="A14" s="15" t="s">
        <v>5</v>
      </c>
      <c r="B14" s="15"/>
      <c r="C14" s="84" t="s">
        <v>122</v>
      </c>
      <c r="D14" s="84" t="s">
        <v>123</v>
      </c>
      <c r="E14" s="84" t="s">
        <v>118</v>
      </c>
      <c r="F14" s="84" t="s">
        <v>119</v>
      </c>
      <c r="G14" s="84" t="s">
        <v>120</v>
      </c>
      <c r="H14" s="84" t="s">
        <v>121</v>
      </c>
      <c r="I14" s="85"/>
      <c r="J14" s="86"/>
      <c r="K14" s="39"/>
      <c r="L14" s="25"/>
      <c r="M14" s="25"/>
      <c r="N14" s="25"/>
      <c r="O14" s="25"/>
      <c r="P14" s="25"/>
      <c r="Q14" s="25"/>
      <c r="R14" s="25"/>
    </row>
    <row r="15" spans="1:20" ht="12.75">
      <c r="A15" s="105"/>
      <c r="B15" s="2" t="s">
        <v>124</v>
      </c>
      <c r="C15" s="89">
        <v>1320</v>
      </c>
      <c r="D15" s="90">
        <f>D$16*16</f>
        <v>1320</v>
      </c>
      <c r="E15" s="90">
        <f>E$17*2000*16</f>
        <v>1320</v>
      </c>
      <c r="F15" s="90">
        <f>F$18/28.349523125</f>
        <v>1320</v>
      </c>
      <c r="G15" s="90">
        <f>G$19*1000/28.349523125</f>
        <v>1320</v>
      </c>
      <c r="H15" s="90">
        <f>H$20*1000*1000/28.349523125</f>
        <v>1320</v>
      </c>
      <c r="I15" s="83"/>
      <c r="J15" s="87"/>
      <c r="K15" s="29"/>
      <c r="L15" s="29"/>
      <c r="M15" s="29"/>
      <c r="N15" s="29"/>
      <c r="O15" s="29"/>
      <c r="P15" s="29"/>
      <c r="Q15" s="29"/>
      <c r="R15" s="29"/>
      <c r="S15" s="16"/>
      <c r="T15" s="16"/>
    </row>
    <row r="16" spans="1:20" ht="12.75">
      <c r="A16" s="105"/>
      <c r="B16" t="s">
        <v>125</v>
      </c>
      <c r="C16" s="91">
        <f>C$15/16</f>
        <v>82.5</v>
      </c>
      <c r="D16" s="89">
        <v>82.5</v>
      </c>
      <c r="E16" s="91">
        <f>E$17*2000</f>
        <v>82.5</v>
      </c>
      <c r="F16" s="91">
        <f>F$18/0.45359237/1000</f>
        <v>82.49999999999999</v>
      </c>
      <c r="G16" s="91">
        <f>G$19/0.45359237</f>
        <v>82.5</v>
      </c>
      <c r="H16" s="91">
        <f>H$20*1000*1000/28.349523125/16</f>
        <v>82.5</v>
      </c>
      <c r="I16" s="83"/>
      <c r="J16" s="87"/>
      <c r="K16" s="29"/>
      <c r="L16" s="29"/>
      <c r="M16" s="29"/>
      <c r="N16" s="29"/>
      <c r="O16" s="29"/>
      <c r="P16" s="29"/>
      <c r="Q16" s="29"/>
      <c r="R16" s="29"/>
      <c r="S16" s="16"/>
      <c r="T16" s="16"/>
    </row>
    <row r="17" spans="1:20" s="13" customFormat="1" ht="13.5" thickBot="1">
      <c r="A17" s="106"/>
      <c r="B17" s="4" t="s">
        <v>126</v>
      </c>
      <c r="C17" s="92">
        <f>C$15/16/2000</f>
        <v>0.04125</v>
      </c>
      <c r="D17" s="92">
        <f>D$16/2000</f>
        <v>0.04125</v>
      </c>
      <c r="E17" s="93">
        <v>0.04125</v>
      </c>
      <c r="F17" s="92">
        <f>F$18/0.45359237/1000/2000</f>
        <v>0.041249999999999995</v>
      </c>
      <c r="G17" s="92">
        <f>G$19/0.45359237/2000</f>
        <v>0.04125</v>
      </c>
      <c r="H17" s="92">
        <f>H$20*1000*1000/28.349523125/16/2000</f>
        <v>0.04125</v>
      </c>
      <c r="I17" s="86"/>
      <c r="J17" s="88"/>
      <c r="K17" s="40"/>
      <c r="L17" s="40"/>
      <c r="M17" s="40"/>
      <c r="N17" s="40"/>
      <c r="O17" s="40"/>
      <c r="P17" s="40"/>
      <c r="Q17" s="40"/>
      <c r="R17" s="40"/>
      <c r="S17" s="17"/>
      <c r="T17" s="17"/>
    </row>
    <row r="18" spans="1:20" ht="12.75">
      <c r="A18" s="104" t="s">
        <v>43</v>
      </c>
      <c r="B18" t="s">
        <v>9</v>
      </c>
      <c r="C18" s="91">
        <f>C$15*28.349523125</f>
        <v>37421.370525</v>
      </c>
      <c r="D18" s="91">
        <f>D$16*0.45359237*1000</f>
        <v>37421.370525</v>
      </c>
      <c r="E18" s="91">
        <f>E$17*2000*0.45359237*1000</f>
        <v>37421.370525</v>
      </c>
      <c r="F18" s="89">
        <v>37421.370525</v>
      </c>
      <c r="G18" s="91">
        <f>G$19*1000</f>
        <v>37421.370525</v>
      </c>
      <c r="H18" s="91">
        <f>H$20*1000*1000</f>
        <v>37421.370525</v>
      </c>
      <c r="I18" s="83"/>
      <c r="J18" s="87"/>
      <c r="K18" s="29"/>
      <c r="L18" s="29"/>
      <c r="M18" s="29"/>
      <c r="N18" s="29"/>
      <c r="O18" s="29"/>
      <c r="P18" s="29"/>
      <c r="Q18" s="29"/>
      <c r="R18" s="29"/>
      <c r="S18" s="16"/>
      <c r="T18" s="16"/>
    </row>
    <row r="19" spans="1:20" ht="12.75">
      <c r="A19" s="105"/>
      <c r="B19" s="2" t="s">
        <v>10</v>
      </c>
      <c r="C19" s="90">
        <f>C$15*28.349523125/1000</f>
        <v>37.421370525</v>
      </c>
      <c r="D19" s="90">
        <f>D$16*0.45359237</f>
        <v>37.421370525</v>
      </c>
      <c r="E19" s="90">
        <f>E$17*2000*0.45359237</f>
        <v>37.421370525</v>
      </c>
      <c r="F19" s="90">
        <f>F$18/1000</f>
        <v>37.421370525</v>
      </c>
      <c r="G19" s="89">
        <v>37.421370525</v>
      </c>
      <c r="H19" s="90">
        <f>H$20*1000</f>
        <v>37.421370525</v>
      </c>
      <c r="I19" s="83"/>
      <c r="J19" s="87"/>
      <c r="K19" s="29"/>
      <c r="L19" s="29"/>
      <c r="M19" s="29"/>
      <c r="N19" s="29"/>
      <c r="O19" s="29"/>
      <c r="P19" s="29"/>
      <c r="Q19" s="29"/>
      <c r="R19" s="29"/>
      <c r="S19" s="16"/>
      <c r="T19" s="16"/>
    </row>
    <row r="20" spans="1:20" s="13" customFormat="1" ht="13.5" thickBot="1">
      <c r="A20" s="106"/>
      <c r="B20" s="5" t="s">
        <v>127</v>
      </c>
      <c r="C20" s="94">
        <f>C$15*28.349523125/1000/1000</f>
        <v>0.037421370525</v>
      </c>
      <c r="D20" s="94">
        <f>D$16*0.45359237/1000</f>
        <v>0.037421370525</v>
      </c>
      <c r="E20" s="94">
        <f>E$17*2*0.45359237</f>
        <v>0.037421370525000004</v>
      </c>
      <c r="F20" s="94">
        <f>F$18/1000/1000</f>
        <v>0.037421370525</v>
      </c>
      <c r="G20" s="94">
        <f>G$19/1000</f>
        <v>0.037421370525</v>
      </c>
      <c r="H20" s="95">
        <v>0.037421370525</v>
      </c>
      <c r="I20" s="86"/>
      <c r="J20" s="88"/>
      <c r="K20" s="40"/>
      <c r="L20" s="40"/>
      <c r="M20" s="40"/>
      <c r="N20" s="40"/>
      <c r="O20" s="40"/>
      <c r="P20" s="40"/>
      <c r="Q20" s="40"/>
      <c r="R20" s="40"/>
      <c r="S20" s="17"/>
      <c r="T20" s="17"/>
    </row>
    <row r="21" spans="3:18" ht="13.5" thickBot="1">
      <c r="C21" s="83"/>
      <c r="D21" s="83"/>
      <c r="E21" s="83"/>
      <c r="F21" s="83"/>
      <c r="G21" s="83"/>
      <c r="H21" s="83"/>
      <c r="I21" s="83"/>
      <c r="J21" s="83"/>
      <c r="K21" s="30"/>
      <c r="L21" s="30"/>
      <c r="M21" s="30"/>
      <c r="N21" s="30"/>
      <c r="O21" s="30"/>
      <c r="P21" s="30"/>
      <c r="Q21" s="30"/>
      <c r="R21" s="30"/>
    </row>
    <row r="22" spans="1:18" s="13" customFormat="1" ht="24.75" thickBot="1" thickTop="1">
      <c r="A22" s="15" t="s">
        <v>6</v>
      </c>
      <c r="B22" s="15"/>
      <c r="C22" s="84" t="s">
        <v>128</v>
      </c>
      <c r="D22" s="84" t="s">
        <v>129</v>
      </c>
      <c r="E22" s="84" t="s">
        <v>130</v>
      </c>
      <c r="F22" s="85"/>
      <c r="G22" s="86"/>
      <c r="H22" s="86"/>
      <c r="I22" s="86"/>
      <c r="J22" s="86"/>
      <c r="K22" s="25"/>
      <c r="L22" s="25"/>
      <c r="M22" s="25"/>
      <c r="N22" s="25"/>
      <c r="O22" s="39"/>
      <c r="P22" s="25"/>
      <c r="Q22" s="25"/>
      <c r="R22" s="25"/>
    </row>
    <row r="23" spans="2:18" ht="12.75">
      <c r="B23" t="s">
        <v>11</v>
      </c>
      <c r="C23" s="96">
        <v>295.382222</v>
      </c>
      <c r="D23" s="97">
        <f>D24+273.16</f>
        <v>295.382222</v>
      </c>
      <c r="E23" s="98">
        <f>E24+273.16</f>
        <v>295.38222222222225</v>
      </c>
      <c r="F23" s="83"/>
      <c r="G23" s="83"/>
      <c r="H23" s="83"/>
      <c r="I23" s="83"/>
      <c r="J23" s="83"/>
      <c r="K23" s="30"/>
      <c r="L23" s="30"/>
      <c r="M23" s="30"/>
      <c r="N23" s="30"/>
      <c r="O23" s="30"/>
      <c r="P23" s="30"/>
      <c r="Q23" s="30"/>
      <c r="R23" s="30"/>
    </row>
    <row r="24" spans="2:18" ht="12.75">
      <c r="B24" t="s">
        <v>12</v>
      </c>
      <c r="C24" s="98">
        <f>C23-273.16</f>
        <v>22.222221999999988</v>
      </c>
      <c r="D24" s="96">
        <v>22.222222</v>
      </c>
      <c r="E24" s="98">
        <f>(E25-32)/9*5</f>
        <v>22.22222222222222</v>
      </c>
      <c r="F24" s="83"/>
      <c r="G24" s="83"/>
      <c r="H24" s="83"/>
      <c r="I24" s="83"/>
      <c r="J24" s="83"/>
      <c r="K24" s="30"/>
      <c r="L24" s="30"/>
      <c r="M24" s="30"/>
      <c r="N24" s="30"/>
      <c r="O24" s="30"/>
      <c r="P24" s="30"/>
      <c r="Q24" s="30"/>
      <c r="R24" s="30"/>
    </row>
    <row r="25" spans="1:18" ht="13.5" thickBot="1">
      <c r="A25" s="4"/>
      <c r="B25" s="4" t="s">
        <v>13</v>
      </c>
      <c r="C25" s="99">
        <f>(C23-273.16)/5*9+32</f>
        <v>71.99999959999997</v>
      </c>
      <c r="D25" s="99">
        <f>D24/5*9+32</f>
        <v>71.9999996</v>
      </c>
      <c r="E25" s="100">
        <v>72</v>
      </c>
      <c r="F25" s="83"/>
      <c r="G25" s="83"/>
      <c r="H25" s="83"/>
      <c r="I25" s="83"/>
      <c r="J25" s="83"/>
      <c r="K25" s="30"/>
      <c r="L25" s="30"/>
      <c r="M25" s="30"/>
      <c r="N25" s="30"/>
      <c r="O25" s="30"/>
      <c r="P25" s="30"/>
      <c r="Q25" s="30"/>
      <c r="R25" s="30"/>
    </row>
    <row r="26" spans="3:18" ht="12.75">
      <c r="C26" s="101"/>
      <c r="D26" s="101"/>
      <c r="E26" s="102"/>
      <c r="F26" s="83"/>
      <c r="G26" s="83"/>
      <c r="H26" s="83"/>
      <c r="I26" s="83"/>
      <c r="J26" s="83"/>
      <c r="K26" s="30"/>
      <c r="L26" s="30"/>
      <c r="M26" s="30"/>
      <c r="N26" s="30"/>
      <c r="O26" s="30"/>
      <c r="P26" s="30"/>
      <c r="Q26" s="30"/>
      <c r="R26" s="30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t="s">
        <v>135</v>
      </c>
      <c r="C28" s="30"/>
      <c r="D28" s="30"/>
      <c r="E28" s="30"/>
      <c r="F28" s="21" t="s">
        <v>136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6" customFormat="1" ht="25.5" hidden="1" thickTop="1">
      <c r="B29" s="7" t="s">
        <v>27</v>
      </c>
      <c r="C29" s="23" t="s">
        <v>82</v>
      </c>
      <c r="D29" s="23" t="s">
        <v>83</v>
      </c>
      <c r="E29" s="23" t="s">
        <v>84</v>
      </c>
      <c r="F29" s="23" t="s">
        <v>85</v>
      </c>
      <c r="G29" s="23" t="s">
        <v>86</v>
      </c>
      <c r="H29" s="23" t="s">
        <v>87</v>
      </c>
      <c r="I29" s="23" t="s">
        <v>88</v>
      </c>
      <c r="J29" s="23" t="s">
        <v>89</v>
      </c>
      <c r="K29" s="41" t="s">
        <v>90</v>
      </c>
      <c r="L29" s="42" t="s">
        <v>27</v>
      </c>
      <c r="M29" s="43"/>
      <c r="N29" s="43"/>
      <c r="O29" s="43"/>
      <c r="P29" s="44"/>
      <c r="Q29" s="43"/>
      <c r="R29" s="43"/>
    </row>
    <row r="30" spans="1:18" ht="12.75" hidden="1">
      <c r="A30" s="113" t="s">
        <v>44</v>
      </c>
      <c r="B30" s="9" t="s">
        <v>14</v>
      </c>
      <c r="C30" s="45">
        <v>1</v>
      </c>
      <c r="D30" s="46">
        <f>D$31*12</f>
        <v>12</v>
      </c>
      <c r="E30" s="46">
        <f>E$32*5280*12</f>
        <v>63360</v>
      </c>
      <c r="F30" s="46">
        <f>F$33/3600*5280*12</f>
        <v>17.599999999999998</v>
      </c>
      <c r="G30" s="46">
        <f>G$34*6076/3600*12</f>
        <v>20.253333333333334</v>
      </c>
      <c r="H30" s="46">
        <f>H$35/8/24/14/3600*5280*12</f>
        <v>0.006547619047619047</v>
      </c>
      <c r="I30" s="46">
        <f>I$36/25.4*1000</f>
        <v>39.37007874015748</v>
      </c>
      <c r="J30" s="46">
        <f>J$37*1000*1000/25.4</f>
        <v>39370.078740157485</v>
      </c>
      <c r="K30" s="47">
        <f>K$39*299792458*1000/25.4</f>
        <v>11802852677.165356</v>
      </c>
      <c r="L30" s="48" t="s">
        <v>14</v>
      </c>
      <c r="M30" s="30"/>
      <c r="N30" s="30"/>
      <c r="O30" s="29"/>
      <c r="P30" s="29"/>
      <c r="Q30" s="30"/>
      <c r="R30" s="30"/>
    </row>
    <row r="31" spans="1:27" ht="12.75" hidden="1">
      <c r="A31" s="113"/>
      <c r="B31" s="9" t="s">
        <v>98</v>
      </c>
      <c r="C31" s="46">
        <f>C$30/12</f>
        <v>0.08333333333333333</v>
      </c>
      <c r="D31" s="45">
        <v>1</v>
      </c>
      <c r="E31" s="46">
        <f>E$32*5280</f>
        <v>5280</v>
      </c>
      <c r="F31" s="46">
        <f>F$33/3600*5280</f>
        <v>1.4666666666666666</v>
      </c>
      <c r="G31" s="46">
        <f>G$34*6076/3600</f>
        <v>1.6877777777777778</v>
      </c>
      <c r="H31" s="46">
        <f>H$35/8/24/14/3600*5280</f>
        <v>0.0005456349206349205</v>
      </c>
      <c r="I31" s="46">
        <f>I$36/25.4*1000/12</f>
        <v>3.2808398950131235</v>
      </c>
      <c r="J31" s="46">
        <f>J$37*1000*1000/25.4/12</f>
        <v>3280.8398950131236</v>
      </c>
      <c r="K31" s="47">
        <f>K$39*299792458*1000/25.4/12</f>
        <v>983571056.4304463</v>
      </c>
      <c r="L31" s="48" t="s">
        <v>15</v>
      </c>
      <c r="M31" s="30"/>
      <c r="N31" s="30"/>
      <c r="O31" s="29"/>
      <c r="P31" s="29"/>
      <c r="Q31" s="29"/>
      <c r="R31" s="29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2.75" hidden="1">
      <c r="A32" s="113"/>
      <c r="B32" t="s">
        <v>16</v>
      </c>
      <c r="C32" s="49">
        <f>C$30/12/5280</f>
        <v>1.5782828282828283E-05</v>
      </c>
      <c r="D32" s="49">
        <f>D$31/5280</f>
        <v>0.0001893939393939394</v>
      </c>
      <c r="E32" s="45">
        <v>1</v>
      </c>
      <c r="F32" s="49">
        <f>F$33/3600</f>
        <v>0.0002777777777777778</v>
      </c>
      <c r="G32" s="49">
        <f>G$34*6076/5280/3600</f>
        <v>0.0003196548821548822</v>
      </c>
      <c r="H32" s="49">
        <f>H$35/8/24/14/3600</f>
        <v>1.0333994708994708E-07</v>
      </c>
      <c r="I32" s="49">
        <f>I$36/25.4*1000/12/5280</f>
        <v>0.000621371192237334</v>
      </c>
      <c r="J32" s="49">
        <f>J$37*1000*1000/25.4/12/5280</f>
        <v>0.6213711922373341</v>
      </c>
      <c r="K32" s="24">
        <f>K$39*299792458*1000/25.4/12/5280</f>
        <v>186282.39705122088</v>
      </c>
      <c r="L32" s="50" t="s">
        <v>16</v>
      </c>
      <c r="M32" s="30"/>
      <c r="N32" s="30"/>
      <c r="O32" s="29"/>
      <c r="P32" s="29"/>
      <c r="Q32" s="29"/>
      <c r="R32" s="29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 hidden="1">
      <c r="A33" s="113"/>
      <c r="B33" t="s">
        <v>17</v>
      </c>
      <c r="C33" s="49">
        <f>C$30/12/5280*3600</f>
        <v>0.056818181818181816</v>
      </c>
      <c r="D33" s="49">
        <f>D$31/5280*3600</f>
        <v>0.6818181818181818</v>
      </c>
      <c r="E33" s="49">
        <f>E$32*3600</f>
        <v>3600</v>
      </c>
      <c r="F33" s="45">
        <v>1</v>
      </c>
      <c r="G33" s="49">
        <f>G$34*6076/5280</f>
        <v>1.1507575757575759</v>
      </c>
      <c r="H33" s="49">
        <f>H$35/8/24/14</f>
        <v>0.0003720238095238095</v>
      </c>
      <c r="I33" s="49">
        <f>I$36/25.4*1000/12/5280*3600</f>
        <v>2.2369362920544025</v>
      </c>
      <c r="J33" s="49">
        <f>J$37*1000*1000/25.4/12/5280*3600</f>
        <v>2236.9362920544027</v>
      </c>
      <c r="K33" s="24">
        <f>K$39*299792458*1000/25.4/12/5280*3600</f>
        <v>670616629.3843951</v>
      </c>
      <c r="L33" s="50" t="s">
        <v>17</v>
      </c>
      <c r="M33" s="30"/>
      <c r="N33" s="30"/>
      <c r="O33" s="29"/>
      <c r="P33" s="29"/>
      <c r="Q33" s="29"/>
      <c r="R33" s="29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.75" hidden="1">
      <c r="A34" s="113"/>
      <c r="B34" s="9" t="s">
        <v>42</v>
      </c>
      <c r="C34" s="46">
        <f>C$30/12/6076*3600</f>
        <v>0.04937458854509545</v>
      </c>
      <c r="D34" s="46">
        <f>D$31/6076*3600</f>
        <v>0.5924950625411455</v>
      </c>
      <c r="E34" s="46">
        <f>E$32*5280/6076*3600</f>
        <v>3128.373930217248</v>
      </c>
      <c r="F34" s="46">
        <f>F$33*5280/6076</f>
        <v>0.8689927583936801</v>
      </c>
      <c r="G34" s="45">
        <v>1</v>
      </c>
      <c r="H34" s="46">
        <f>H$35/8/24/14*5280/6076</f>
        <v>0.00032328599642622027</v>
      </c>
      <c r="I34" s="46">
        <f>I$36/25.4*1000/12/6076*3600</f>
        <v>1.943881438783286</v>
      </c>
      <c r="J34" s="46">
        <f>J$37*1000*1000/25.4/12/6076*3600</f>
        <v>1943.8814387832858</v>
      </c>
      <c r="K34" s="47">
        <f>K$39*299792458*1000/25.4/12/6076*3600</f>
        <v>582760994.5934178</v>
      </c>
      <c r="L34" s="48" t="s">
        <v>42</v>
      </c>
      <c r="M34" s="30"/>
      <c r="N34" s="30"/>
      <c r="O34" s="29"/>
      <c r="P34" s="29"/>
      <c r="Q34" s="29"/>
      <c r="R34" s="29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3" customFormat="1" ht="13.5" hidden="1" thickBot="1">
      <c r="A35" s="106"/>
      <c r="B35" s="11" t="s">
        <v>38</v>
      </c>
      <c r="C35" s="51">
        <f>C$30/12/5280*3600*8*24*14</f>
        <v>152.72727272727272</v>
      </c>
      <c r="D35" s="51">
        <f>D$31/5280*3600*8*24*14</f>
        <v>1832.7272727272727</v>
      </c>
      <c r="E35" s="51">
        <f>E$32*3600*8*24*14</f>
        <v>9676800</v>
      </c>
      <c r="F35" s="51">
        <f>F$33*8*24*14</f>
        <v>2688</v>
      </c>
      <c r="G35" s="51">
        <f>G$34*6076/5280*8*24*14</f>
        <v>3093.236363636364</v>
      </c>
      <c r="H35" s="52">
        <v>1</v>
      </c>
      <c r="I35" s="51">
        <f>I$36/25.4*1000/12/5280*3600*8*24*14</f>
        <v>6012.8847530422345</v>
      </c>
      <c r="J35" s="51">
        <f>J$37*1000*1000/25.4/12/5280*3600*8*24*14</f>
        <v>6012884.753042234</v>
      </c>
      <c r="K35" s="53">
        <f>K$39*299792458*1000/25.4/12/5280*3600*8*24*14</f>
        <v>1802617499785.2542</v>
      </c>
      <c r="L35" s="54" t="s">
        <v>38</v>
      </c>
      <c r="M35" s="25"/>
      <c r="N35" s="25"/>
      <c r="O35" s="40"/>
      <c r="P35" s="40"/>
      <c r="Q35" s="40"/>
      <c r="R35" s="40"/>
      <c r="S35" s="17"/>
      <c r="T35" s="17"/>
      <c r="U35" s="17"/>
      <c r="V35" s="17"/>
      <c r="W35" s="17"/>
      <c r="X35" s="17"/>
      <c r="Y35" s="17"/>
      <c r="Z35" s="17"/>
      <c r="AA35" s="17"/>
    </row>
    <row r="36" spans="1:24" ht="12.75" hidden="1">
      <c r="A36" s="107" t="s">
        <v>43</v>
      </c>
      <c r="B36" t="s">
        <v>18</v>
      </c>
      <c r="C36" s="49">
        <f>C$30*25.4/1000</f>
        <v>0.0254</v>
      </c>
      <c r="D36" s="49">
        <f>D$31*12*25.4/1000</f>
        <v>0.30479999999999996</v>
      </c>
      <c r="E36" s="49">
        <f>E$32*5280*12*25.4/1000</f>
        <v>1609.344</v>
      </c>
      <c r="F36" s="49">
        <f>F$33/3600*5280*12*25.4/1000</f>
        <v>0.4470399999999999</v>
      </c>
      <c r="G36" s="49">
        <f>G$34*6076/3600*12*25.4/1000</f>
        <v>0.5144346666666667</v>
      </c>
      <c r="H36" s="49">
        <f>H$35/8/24/14/3600*5280*12*25.4/1000</f>
        <v>0.0001663095238095238</v>
      </c>
      <c r="I36" s="45">
        <v>1</v>
      </c>
      <c r="J36" s="49">
        <f>J$37*1000</f>
        <v>1000</v>
      </c>
      <c r="K36" s="24">
        <f>K$39*299792458</f>
        <v>299792458</v>
      </c>
      <c r="L36" s="50" t="s">
        <v>18</v>
      </c>
      <c r="M36" s="30"/>
      <c r="N36" s="30"/>
      <c r="O36" s="29"/>
      <c r="P36" s="29"/>
      <c r="Q36" s="29"/>
      <c r="R36" s="29"/>
      <c r="S36" s="16"/>
      <c r="T36" s="16"/>
      <c r="U36" s="16"/>
      <c r="V36" s="16"/>
      <c r="W36" s="16"/>
      <c r="X36" s="16"/>
    </row>
    <row r="37" spans="1:24" ht="12.75" hidden="1">
      <c r="A37" s="108"/>
      <c r="B37" t="s">
        <v>81</v>
      </c>
      <c r="C37" s="49">
        <f>C$30*25.4/1000/1000</f>
        <v>2.5399999999999997E-05</v>
      </c>
      <c r="D37" s="49">
        <f>D$31*12*25.4/1000/1000</f>
        <v>0.0003048</v>
      </c>
      <c r="E37" s="49">
        <f>E$32*5280*12*25.4/1000/1000</f>
        <v>1.609344</v>
      </c>
      <c r="F37" s="49">
        <f>F$33/3600*5280*12*25.4/1000/1000</f>
        <v>0.0004470399999999999</v>
      </c>
      <c r="G37" s="49">
        <f>G$34*6076/3600*12*25.4/1000/1000</f>
        <v>0.0005144346666666667</v>
      </c>
      <c r="H37" s="49">
        <f>H$35/8/24/14/3600*5280*12*25.4/1000/1000</f>
        <v>1.663095238095238E-07</v>
      </c>
      <c r="I37" s="49">
        <f>I$36/1000</f>
        <v>0.001</v>
      </c>
      <c r="J37" s="45">
        <v>1</v>
      </c>
      <c r="K37" s="24">
        <f>K$39*299792458/1000</f>
        <v>299792.458</v>
      </c>
      <c r="L37" s="50" t="s">
        <v>81</v>
      </c>
      <c r="M37" s="30"/>
      <c r="N37" s="30"/>
      <c r="O37" s="29"/>
      <c r="P37" s="29"/>
      <c r="Q37" s="29"/>
      <c r="R37" s="29"/>
      <c r="S37" s="16"/>
      <c r="T37" s="16"/>
      <c r="U37" s="16"/>
      <c r="V37" s="16"/>
      <c r="W37" s="16"/>
      <c r="X37" s="16"/>
    </row>
    <row r="38" spans="1:24" s="13" customFormat="1" ht="13.5" hidden="1" thickBot="1">
      <c r="A38" s="109"/>
      <c r="B38" s="11" t="s">
        <v>19</v>
      </c>
      <c r="C38" s="51">
        <f>C$30*25.4/1000/1000*3600</f>
        <v>0.09144</v>
      </c>
      <c r="D38" s="51">
        <f>D$31*12*25.4/1000/1000*3600</f>
        <v>1.09728</v>
      </c>
      <c r="E38" s="51">
        <f>E$32*5280*12*25.4/1000/1000*3600</f>
        <v>5793.638400000001</v>
      </c>
      <c r="F38" s="51">
        <f>F$33*5280*12*25.4/1000/1000</f>
        <v>1.609344</v>
      </c>
      <c r="G38" s="51">
        <f>G$34*6076*12*25.4/1000/1000</f>
        <v>1.8519647999999997</v>
      </c>
      <c r="H38" s="51">
        <f>H$35/8/24/14*5280*12*25.4/1000/1000</f>
        <v>0.0005987142857142856</v>
      </c>
      <c r="I38" s="51">
        <f>I$36/1000*3600</f>
        <v>3.6</v>
      </c>
      <c r="J38" s="51">
        <f>J$37*3600</f>
        <v>3600</v>
      </c>
      <c r="K38" s="53">
        <f>K$39*299792458/1000*3600</f>
        <v>1079252848.8</v>
      </c>
      <c r="L38" s="54" t="s">
        <v>19</v>
      </c>
      <c r="M38" s="25"/>
      <c r="N38" s="25"/>
      <c r="O38" s="40"/>
      <c r="P38" s="40"/>
      <c r="Q38" s="40"/>
      <c r="R38" s="40"/>
      <c r="S38" s="17"/>
      <c r="T38" s="17"/>
      <c r="U38" s="17"/>
      <c r="V38" s="17"/>
      <c r="W38" s="17"/>
      <c r="X38" s="17"/>
    </row>
    <row r="39" spans="1:24" ht="13.5" hidden="1" thickBot="1">
      <c r="A39" s="4"/>
      <c r="B39" s="11" t="s">
        <v>41</v>
      </c>
      <c r="C39" s="51">
        <f>C$30*25.4/1000/299792458</f>
        <v>8.472528018033061E-11</v>
      </c>
      <c r="D39" s="51">
        <f>D$31*12*25.4/1000/299792458</f>
        <v>1.0167033621639672E-09</v>
      </c>
      <c r="E39" s="51">
        <f>E$32*5280*12*25.4/1000/299792458</f>
        <v>5.368193752225749E-06</v>
      </c>
      <c r="F39" s="51">
        <f>F$33/3600*5280*12*25.4/1000/299792458</f>
        <v>1.4911649311738186E-09</v>
      </c>
      <c r="G39" s="51">
        <f>G$34*6076/3600*12*25.4/1000/299792458</f>
        <v>1.7159693412522962E-09</v>
      </c>
      <c r="H39" s="51">
        <f>H$35/8/24/14/3600*5280*12*25.4/1000/299792458</f>
        <v>5.547488583235932E-13</v>
      </c>
      <c r="I39" s="51">
        <f>I$36/299792458</f>
        <v>3.3356409519815204E-09</v>
      </c>
      <c r="J39" s="51">
        <f>J$37*1000/299792458</f>
        <v>3.3356409519815205E-06</v>
      </c>
      <c r="K39" s="55">
        <v>1</v>
      </c>
      <c r="L39" s="54" t="s">
        <v>41</v>
      </c>
      <c r="M39" s="30"/>
      <c r="N39" s="30"/>
      <c r="O39" s="29"/>
      <c r="P39" s="29"/>
      <c r="Q39" s="29"/>
      <c r="R39" s="29"/>
      <c r="S39" s="16"/>
      <c r="T39" s="16"/>
      <c r="U39" s="16"/>
      <c r="V39" s="16"/>
      <c r="W39" s="16"/>
      <c r="X39" s="16"/>
    </row>
    <row r="40" spans="3:18" ht="12.75" hidden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ht="12.75" hidden="1">
      <c r="C41" s="30" t="s">
        <v>99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ht="12.75" hidden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6" customFormat="1" ht="26.25" hidden="1" thickBot="1" thickTop="1">
      <c r="B43" s="15" t="s">
        <v>7</v>
      </c>
      <c r="C43" s="56"/>
      <c r="D43" s="38" t="s">
        <v>91</v>
      </c>
      <c r="E43" s="38" t="s">
        <v>92</v>
      </c>
      <c r="F43" s="38" t="s">
        <v>93</v>
      </c>
      <c r="G43" s="38" t="s">
        <v>94</v>
      </c>
      <c r="H43" s="38" t="s">
        <v>95</v>
      </c>
      <c r="I43" s="38" t="s">
        <v>97</v>
      </c>
      <c r="J43" s="57" t="s">
        <v>96</v>
      </c>
      <c r="K43" s="58"/>
      <c r="L43" s="43"/>
      <c r="M43" s="43"/>
      <c r="N43" s="43"/>
      <c r="O43" s="43"/>
      <c r="P43" s="44"/>
      <c r="Q43" s="43"/>
      <c r="R43" s="43"/>
    </row>
    <row r="44" spans="1:18" ht="12.75" hidden="1">
      <c r="A44" s="110" t="s">
        <v>49</v>
      </c>
      <c r="B44" s="9" t="s">
        <v>20</v>
      </c>
      <c r="C44" s="59"/>
      <c r="D44" s="45">
        <v>1</v>
      </c>
      <c r="E44" s="46">
        <f>E$45*12</f>
        <v>12</v>
      </c>
      <c r="F44" s="46">
        <f>F$46/3600*5280*12</f>
        <v>17.599999999999998</v>
      </c>
      <c r="G44" s="46">
        <f>G$47*1000/25.4</f>
        <v>39.37007874015748</v>
      </c>
      <c r="H44" s="46">
        <f>H$48*1000*1000/25.4</f>
        <v>39370.078740157485</v>
      </c>
      <c r="I44" s="46">
        <f>I$49/3600*1000*1000/25.4</f>
        <v>10.936132983377078</v>
      </c>
      <c r="J44" s="47">
        <f>J$50*9.80665*1000/25.4</f>
        <v>386.08858267716533</v>
      </c>
      <c r="K44" s="60"/>
      <c r="L44" s="30"/>
      <c r="M44" s="30"/>
      <c r="N44" s="30"/>
      <c r="O44" s="30"/>
      <c r="P44" s="30"/>
      <c r="Q44" s="30"/>
      <c r="R44" s="30"/>
    </row>
    <row r="45" spans="1:23" ht="12.75" hidden="1">
      <c r="A45" s="111"/>
      <c r="B45" s="9" t="s">
        <v>21</v>
      </c>
      <c r="C45" s="59"/>
      <c r="D45" s="46">
        <f>D$44/12</f>
        <v>0.08333333333333333</v>
      </c>
      <c r="E45" s="45">
        <v>1</v>
      </c>
      <c r="F45" s="46">
        <f>F$46/3600*5280</f>
        <v>1.4666666666666666</v>
      </c>
      <c r="G45" s="46">
        <f>G$47*1000/25.4/12</f>
        <v>3.2808398950131235</v>
      </c>
      <c r="H45" s="46">
        <f>H$48*1000*1000/25.4/12</f>
        <v>3280.8398950131236</v>
      </c>
      <c r="I45" s="46">
        <f>I$49/3600*1000*1000/25.4/12</f>
        <v>0.9113444152814232</v>
      </c>
      <c r="J45" s="47">
        <f>J$50*9.80665*1000/25.4/12</f>
        <v>32.17404855643044</v>
      </c>
      <c r="K45" s="60"/>
      <c r="L45" s="30"/>
      <c r="M45" s="30"/>
      <c r="N45" s="30"/>
      <c r="O45" s="29"/>
      <c r="P45" s="29"/>
      <c r="Q45" s="29"/>
      <c r="R45" s="29"/>
      <c r="S45" s="16"/>
      <c r="T45" s="16"/>
      <c r="U45" s="16"/>
      <c r="V45" s="16"/>
      <c r="W45" s="16"/>
    </row>
    <row r="46" spans="1:23" ht="13.5" hidden="1" thickBot="1">
      <c r="A46" s="112"/>
      <c r="B46" s="4" t="s">
        <v>22</v>
      </c>
      <c r="C46" s="61"/>
      <c r="D46" s="62">
        <f>D$44/12/5280*3600</f>
        <v>0.056818181818181816</v>
      </c>
      <c r="E46" s="62">
        <f>E$45/5280*3600</f>
        <v>0.6818181818181818</v>
      </c>
      <c r="F46" s="52">
        <v>1</v>
      </c>
      <c r="G46" s="62">
        <f>G$47*1000/25.4/12/5280*3600</f>
        <v>2.2369362920544025</v>
      </c>
      <c r="H46" s="62">
        <f>H$48*1000*1000/25.4/12/5280*3600</f>
        <v>2236.9362920544027</v>
      </c>
      <c r="I46" s="62">
        <f>I$49*1000*1000/25.4/12/5280</f>
        <v>0.6213711922373341</v>
      </c>
      <c r="J46" s="63">
        <f>J$50*9.80665*1000/25.4/12/5280*3600</f>
        <v>21.936851288475303</v>
      </c>
      <c r="K46" s="64"/>
      <c r="L46" s="30"/>
      <c r="M46" s="30"/>
      <c r="N46" s="30"/>
      <c r="O46" s="30"/>
      <c r="P46" s="29"/>
      <c r="Q46" s="29"/>
      <c r="R46" s="29"/>
      <c r="S46" s="16"/>
      <c r="T46" s="16"/>
      <c r="U46" s="16"/>
      <c r="V46" s="16"/>
      <c r="W46" s="16"/>
    </row>
    <row r="47" spans="1:23" ht="12.75" hidden="1">
      <c r="A47" s="107" t="s">
        <v>43</v>
      </c>
      <c r="B47" t="s">
        <v>23</v>
      </c>
      <c r="C47" s="30"/>
      <c r="D47" s="49">
        <f>D$44*25.4/1000</f>
        <v>0.0254</v>
      </c>
      <c r="E47" s="49">
        <f>E$45*12*25.4/1000</f>
        <v>0.30479999999999996</v>
      </c>
      <c r="F47" s="49">
        <f>F$46/3600*5280*12*25.4/1000</f>
        <v>0.4470399999999999</v>
      </c>
      <c r="G47" s="45">
        <v>1</v>
      </c>
      <c r="H47" s="49">
        <f>H$48*1000</f>
        <v>1000</v>
      </c>
      <c r="I47" s="49">
        <f>I$49/3600*1000</f>
        <v>0.2777777777777778</v>
      </c>
      <c r="J47" s="24">
        <f>J$50*9.80665</f>
        <v>9.80665</v>
      </c>
      <c r="K47" s="60"/>
      <c r="L47" s="30"/>
      <c r="M47" s="30"/>
      <c r="N47" s="30"/>
      <c r="O47" s="30"/>
      <c r="P47" s="29"/>
      <c r="Q47" s="29"/>
      <c r="R47" s="29"/>
      <c r="S47" s="16"/>
      <c r="T47" s="16"/>
      <c r="U47" s="16"/>
      <c r="V47" s="16"/>
      <c r="W47" s="16"/>
    </row>
    <row r="48" spans="1:23" ht="12.75" hidden="1">
      <c r="A48" s="108"/>
      <c r="B48" s="9" t="s">
        <v>24</v>
      </c>
      <c r="C48" s="59"/>
      <c r="D48" s="46">
        <f>D$44*25.4/1000/1000</f>
        <v>2.5399999999999997E-05</v>
      </c>
      <c r="E48" s="46">
        <f>E$45*12*25.4/1000/1000</f>
        <v>0.0003048</v>
      </c>
      <c r="F48" s="46">
        <f>F$46/3600*5280*12*25.4/1000/1000</f>
        <v>0.0004470399999999999</v>
      </c>
      <c r="G48" s="46">
        <f>G$47/1000</f>
        <v>0.001</v>
      </c>
      <c r="H48" s="45">
        <v>1</v>
      </c>
      <c r="I48" s="46">
        <f>I$49/3600</f>
        <v>0.0002777777777777778</v>
      </c>
      <c r="J48" s="47">
        <f>J$50*9.80665/1000</f>
        <v>0.00980665</v>
      </c>
      <c r="K48" s="60"/>
      <c r="L48" s="30"/>
      <c r="M48" s="30"/>
      <c r="N48" s="30"/>
      <c r="O48" s="30"/>
      <c r="P48" s="29"/>
      <c r="Q48" s="29"/>
      <c r="R48" s="29"/>
      <c r="S48" s="16"/>
      <c r="T48" s="16"/>
      <c r="U48" s="16"/>
      <c r="V48" s="16"/>
      <c r="W48" s="16"/>
    </row>
    <row r="49" spans="1:23" ht="13.5" hidden="1" thickBot="1">
      <c r="A49" s="109"/>
      <c r="B49" s="11" t="s">
        <v>25</v>
      </c>
      <c r="C49" s="65"/>
      <c r="D49" s="51">
        <f>D$44*25.4/1000/1000*3600</f>
        <v>0.09144</v>
      </c>
      <c r="E49" s="51">
        <f>E$45*12*25.4/1000/1000*3600</f>
        <v>1.09728</v>
      </c>
      <c r="F49" s="51">
        <f>F$46*5280*12*25.4/1000/1000</f>
        <v>1.609344</v>
      </c>
      <c r="G49" s="51">
        <f>G$47/1000*3600</f>
        <v>3.6</v>
      </c>
      <c r="H49" s="51">
        <f>H$48*3600</f>
        <v>3600</v>
      </c>
      <c r="I49" s="52">
        <v>1</v>
      </c>
      <c r="J49" s="53">
        <f>J$50*9.80665/1000*3600</f>
        <v>35.30394</v>
      </c>
      <c r="K49" s="64"/>
      <c r="L49" s="30"/>
      <c r="M49" s="30"/>
      <c r="N49" s="30"/>
      <c r="O49" s="30"/>
      <c r="P49" s="29"/>
      <c r="Q49" s="29"/>
      <c r="R49" s="29"/>
      <c r="S49" s="16"/>
      <c r="T49" s="16"/>
      <c r="U49" s="16"/>
      <c r="V49" s="16"/>
      <c r="W49" s="16"/>
    </row>
    <row r="50" spans="1:23" ht="13.5" hidden="1" thickBot="1">
      <c r="A50" s="4"/>
      <c r="B50" s="4" t="s">
        <v>26</v>
      </c>
      <c r="C50" s="61"/>
      <c r="D50" s="62">
        <f>D$44*25.4/1000/9.80665</f>
        <v>0.0025900791809639378</v>
      </c>
      <c r="E50" s="62">
        <f>E$45*12*25.4/1000/9.80665</f>
        <v>0.03108095017156725</v>
      </c>
      <c r="F50" s="62">
        <f>F$46/3600*5280*12*25.4/1000/9.80665</f>
        <v>0.04558539358496529</v>
      </c>
      <c r="G50" s="62">
        <f>G$47/9.80665</f>
        <v>0.10197162129779283</v>
      </c>
      <c r="H50" s="62">
        <f>H$48*1000/9.80665</f>
        <v>101.97162129779284</v>
      </c>
      <c r="I50" s="62">
        <f>I$49/3600*1000/9.80665</f>
        <v>0.02832545036049801</v>
      </c>
      <c r="J50" s="55">
        <v>1</v>
      </c>
      <c r="K50" s="64"/>
      <c r="L50" s="30"/>
      <c r="M50" s="30"/>
      <c r="N50" s="30"/>
      <c r="O50" s="30"/>
      <c r="P50" s="29"/>
      <c r="Q50" s="29"/>
      <c r="R50" s="29"/>
      <c r="S50" s="16"/>
      <c r="T50" s="16"/>
      <c r="U50" s="16"/>
      <c r="V50" s="16"/>
      <c r="W50" s="16"/>
    </row>
    <row r="51" spans="3:18" ht="12.75" hidden="1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ht="12.75" hidden="1">
      <c r="C52" s="30" t="s">
        <v>99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ht="12.75" hidden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s="6" customFormat="1" ht="26.25" hidden="1" thickBot="1" thickTop="1">
      <c r="A54" s="14"/>
      <c r="B54" s="15" t="s">
        <v>8</v>
      </c>
      <c r="C54" s="38" t="s">
        <v>58</v>
      </c>
      <c r="D54" s="38" t="s">
        <v>59</v>
      </c>
      <c r="E54" s="38" t="s">
        <v>60</v>
      </c>
      <c r="F54" s="38" t="s">
        <v>61</v>
      </c>
      <c r="G54" s="38" t="s">
        <v>62</v>
      </c>
      <c r="H54" s="38" t="s">
        <v>63</v>
      </c>
      <c r="I54" s="38" t="s">
        <v>64</v>
      </c>
      <c r="J54" s="38" t="s">
        <v>65</v>
      </c>
      <c r="K54" s="38" t="s">
        <v>66</v>
      </c>
      <c r="L54" s="38" t="s">
        <v>67</v>
      </c>
      <c r="M54" s="38" t="s">
        <v>70</v>
      </c>
      <c r="N54" s="38" t="s">
        <v>68</v>
      </c>
      <c r="O54" s="57" t="s">
        <v>69</v>
      </c>
      <c r="P54" s="66" t="s">
        <v>8</v>
      </c>
      <c r="Q54" s="43"/>
      <c r="R54" s="43"/>
    </row>
    <row r="55" spans="2:18" ht="12.75" hidden="1">
      <c r="B55" s="1" t="s">
        <v>71</v>
      </c>
      <c r="C55" s="45">
        <v>1</v>
      </c>
      <c r="D55" s="67">
        <f>D$56*1000</f>
        <v>1000</v>
      </c>
      <c r="E55" s="67">
        <f>E$57*1000*1000</f>
        <v>1000000</v>
      </c>
      <c r="F55" s="67">
        <f>F$58*1000*1000*1000</f>
        <v>1000000000</v>
      </c>
      <c r="G55" s="68">
        <f>G$59*1000*1000*1000*1000</f>
        <v>1000000000000</v>
      </c>
      <c r="H55" s="68">
        <f>H$60*60*1000*1000*1000*1000</f>
        <v>60000000000000</v>
      </c>
      <c r="I55" s="68">
        <f>I$61*60*60*1000*1000*1000*1000</f>
        <v>3600000000000000</v>
      </c>
      <c r="J55" s="68">
        <f>J$62*24*60*60*1000*1000*1000*1000</f>
        <v>86400000000000000</v>
      </c>
      <c r="K55" s="68">
        <f>K$64*14*24*60*60*1000*1000*1000*1000</f>
        <v>1.2096E+18</v>
      </c>
      <c r="L55" s="68">
        <f>L$65/12*365*24*60*60*1000*1000*1000*1000</f>
        <v>2.628E+18</v>
      </c>
      <c r="M55" s="68">
        <f>M$66*365*24*60*60*1000*1000*1000*1000</f>
        <v>3.1536E+19</v>
      </c>
      <c r="N55" s="68">
        <f>N$67*366*24*60*60*1000*1000*1000*1000</f>
        <v>3.16224E+19</v>
      </c>
      <c r="O55" s="69">
        <f>O$68*(365+5/24+48/60/24+46/60/60/24)*24*60*60*1000*1000*1000*1000</f>
        <v>3.1556926000000004E+19</v>
      </c>
      <c r="P55" s="50" t="s">
        <v>71</v>
      </c>
      <c r="Q55" s="30"/>
      <c r="R55" s="30"/>
    </row>
    <row r="56" spans="2:18" ht="12.75" hidden="1">
      <c r="B56" s="1" t="s">
        <v>72</v>
      </c>
      <c r="C56" s="68">
        <f>C$55/1000</f>
        <v>0.001</v>
      </c>
      <c r="D56" s="45">
        <v>1</v>
      </c>
      <c r="E56" s="67">
        <f>E$57*1000</f>
        <v>1000</v>
      </c>
      <c r="F56" s="67">
        <f>F$58*1000*1000</f>
        <v>1000000</v>
      </c>
      <c r="G56" s="67">
        <f>G$59*1000*1000*1000</f>
        <v>1000000000</v>
      </c>
      <c r="H56" s="67">
        <f>H$60*60*1000*1000*1000</f>
        <v>60000000000</v>
      </c>
      <c r="I56" s="68">
        <f>I$61*60*60*1000*1000*1000</f>
        <v>3600000000000</v>
      </c>
      <c r="J56" s="68">
        <f>J$62*24*60*60*1000*1000*1000</f>
        <v>86400000000000</v>
      </c>
      <c r="K56" s="68">
        <f>K$64*14*24*60*60*1000*1000*1000</f>
        <v>1209600000000000</v>
      </c>
      <c r="L56" s="68">
        <f>L$65/12*365*24*60*60*1000*1000*1000</f>
        <v>2628000000000000</v>
      </c>
      <c r="M56" s="68">
        <f>M$66*365*24*60*60*1000*1000*1000</f>
        <v>31536000000000000</v>
      </c>
      <c r="N56" s="68">
        <f>N$67*366*24*60*60*1000*1000*1000</f>
        <v>31622400000000000</v>
      </c>
      <c r="O56" s="69">
        <f>O$68*(365+5/24+48/60/24+46/60/60/24)*24*60*60*1000*1000*1000</f>
        <v>31556926000000004</v>
      </c>
      <c r="P56" s="50" t="s">
        <v>72</v>
      </c>
      <c r="Q56" s="30"/>
      <c r="R56" s="30"/>
    </row>
    <row r="57" spans="2:18" ht="12.75" hidden="1">
      <c r="B57" s="12" t="s">
        <v>73</v>
      </c>
      <c r="C57" s="46">
        <f>C$55/1000/1000</f>
        <v>1E-06</v>
      </c>
      <c r="D57" s="46">
        <f>D$56/1000</f>
        <v>0.001</v>
      </c>
      <c r="E57" s="45">
        <v>1</v>
      </c>
      <c r="F57" s="70">
        <f>F$58*1000</f>
        <v>1000</v>
      </c>
      <c r="G57" s="70">
        <f>G$59*1000*1000</f>
        <v>1000000</v>
      </c>
      <c r="H57" s="70">
        <f>H$60*60*1000*1000</f>
        <v>60000000</v>
      </c>
      <c r="I57" s="70">
        <f>I$61*60*60*1000*1000</f>
        <v>3600000000</v>
      </c>
      <c r="J57" s="70">
        <f>J$62*24*60*60*1000*1000</f>
        <v>86400000000</v>
      </c>
      <c r="K57" s="46">
        <f>K$64*14*24*60*60*1000*1000</f>
        <v>1209600000000</v>
      </c>
      <c r="L57" s="46">
        <f>L$65/12*365*24*60*60*1000*1000</f>
        <v>2628000000000</v>
      </c>
      <c r="M57" s="46">
        <f>M$66*365*24*60*60*1000*1000</f>
        <v>31536000000000</v>
      </c>
      <c r="N57" s="46">
        <f>N$67*366*24*60*60*1000*1000</f>
        <v>31622400000000</v>
      </c>
      <c r="O57" s="47">
        <f>O$68*(365+5/24+48/60/24+46/60/60/24)*24*60*60*1000*1000</f>
        <v>31556926000000.004</v>
      </c>
      <c r="P57" s="71" t="s">
        <v>73</v>
      </c>
      <c r="Q57" s="30"/>
      <c r="R57" s="30"/>
    </row>
    <row r="58" spans="2:18" s="13" customFormat="1" ht="12.75" hidden="1">
      <c r="B58" s="18" t="s">
        <v>74</v>
      </c>
      <c r="C58" s="46">
        <f>C$55/1000/1000/1000</f>
        <v>9.999999999999999E-10</v>
      </c>
      <c r="D58" s="46">
        <f>D$56/1000/1000</f>
        <v>1E-06</v>
      </c>
      <c r="E58" s="46">
        <f>E$57/1000</f>
        <v>0.001</v>
      </c>
      <c r="F58" s="45">
        <v>1</v>
      </c>
      <c r="G58" s="70">
        <f>G$59*1000</f>
        <v>1000</v>
      </c>
      <c r="H58" s="70">
        <f>H$60*60*1000</f>
        <v>60000</v>
      </c>
      <c r="I58" s="70">
        <f>I$61*60*60*1000</f>
        <v>3600000</v>
      </c>
      <c r="J58" s="70">
        <f>J$62*24*60*60*1000</f>
        <v>86400000</v>
      </c>
      <c r="K58" s="70">
        <f>K$64*14*24*60*60*1000</f>
        <v>1209600000</v>
      </c>
      <c r="L58" s="46">
        <f>L$65/12*365*24*60*60*1000</f>
        <v>2628000000</v>
      </c>
      <c r="M58" s="70">
        <f>M$66*365*24*60*60*1000</f>
        <v>31536000000</v>
      </c>
      <c r="N58" s="70">
        <f>N$67*366*24*60*60*1000</f>
        <v>31622400000</v>
      </c>
      <c r="O58" s="72">
        <f>O$68*(365+5/24+48/60/24+46/60/60/24)*24*60*60*1000</f>
        <v>31556926000.000004</v>
      </c>
      <c r="P58" s="71" t="s">
        <v>74</v>
      </c>
      <c r="Q58" s="25"/>
      <c r="R58" s="25"/>
    </row>
    <row r="59" spans="1:18" s="13" customFormat="1" ht="13.5" hidden="1" thickBot="1">
      <c r="A59" s="3"/>
      <c r="B59" s="3" t="s">
        <v>28</v>
      </c>
      <c r="C59" s="73">
        <f>C$55/1000/1000/1000/1000</f>
        <v>9.999999999999998E-13</v>
      </c>
      <c r="D59" s="73">
        <f>D$56/1000/1000/1000</f>
        <v>9.999999999999999E-10</v>
      </c>
      <c r="E59" s="73">
        <f>E$57/1000/1000</f>
        <v>1E-06</v>
      </c>
      <c r="F59" s="73">
        <f>F$58/1000</f>
        <v>0.001</v>
      </c>
      <c r="G59" s="74">
        <v>1</v>
      </c>
      <c r="H59" s="75">
        <f>H$60*60</f>
        <v>60</v>
      </c>
      <c r="I59" s="75">
        <f>I$61*60*60</f>
        <v>3600</v>
      </c>
      <c r="J59" s="75">
        <f>J$62*24*60*60</f>
        <v>86400</v>
      </c>
      <c r="K59" s="75">
        <f>K$64*14*24*60*60</f>
        <v>1209600</v>
      </c>
      <c r="L59" s="73">
        <f>L$65/12*365*24*60*60</f>
        <v>2628000</v>
      </c>
      <c r="M59" s="75">
        <f>M$66*365*24*60*60</f>
        <v>31536000</v>
      </c>
      <c r="N59" s="75">
        <f>N$67*366*24*60*60</f>
        <v>31622400</v>
      </c>
      <c r="O59" s="76">
        <f>O$68*(365+5/24+48/60/24+46/60/60/24)*24*60*60</f>
        <v>31556926.000000004</v>
      </c>
      <c r="P59" s="77" t="s">
        <v>28</v>
      </c>
      <c r="Q59" s="25"/>
      <c r="R59" s="25"/>
    </row>
    <row r="60" spans="2:18" ht="12.75" hidden="1">
      <c r="B60" t="s">
        <v>29</v>
      </c>
      <c r="C60" s="68">
        <f>C$55/1000/1000/1000/1000/60</f>
        <v>1.6666666666666664E-14</v>
      </c>
      <c r="D60" s="68">
        <f>D$56/1000/1000/1000/60</f>
        <v>1.6666666666666664E-11</v>
      </c>
      <c r="E60" s="68">
        <f>E$57/1000/1000/60</f>
        <v>1.6666666666666667E-08</v>
      </c>
      <c r="F60" s="68">
        <f>F$58/1000/60</f>
        <v>1.6666666666666667E-05</v>
      </c>
      <c r="G60" s="68">
        <f>G$59/60</f>
        <v>0.016666666666666666</v>
      </c>
      <c r="H60" s="45">
        <v>1</v>
      </c>
      <c r="I60" s="67">
        <f>I$61*60</f>
        <v>60</v>
      </c>
      <c r="J60" s="67">
        <f>J$62*24*60</f>
        <v>1440</v>
      </c>
      <c r="K60" s="67">
        <f>K$64*14*24*60</f>
        <v>20160</v>
      </c>
      <c r="L60" s="68">
        <f>L$65/12*365*24*60</f>
        <v>43800</v>
      </c>
      <c r="M60" s="67">
        <f>M$66*365*24*60</f>
        <v>525600</v>
      </c>
      <c r="N60" s="67">
        <f>N$67*366*24*60</f>
        <v>527040</v>
      </c>
      <c r="O60" s="78">
        <f>O$68*(365+5/24+48/60/24+46/60/60/24)*24*60</f>
        <v>525948.7666666667</v>
      </c>
      <c r="P60" s="50" t="s">
        <v>29</v>
      </c>
      <c r="Q60" s="30"/>
      <c r="R60" s="30"/>
    </row>
    <row r="61" spans="2:18" ht="12.75" hidden="1">
      <c r="B61" s="9" t="s">
        <v>30</v>
      </c>
      <c r="C61" s="46">
        <f>C$55/1000/1000/1000/1000/60/60</f>
        <v>2.7777777777777775E-16</v>
      </c>
      <c r="D61" s="46">
        <f>D$56/1000/1000/1000/60/60</f>
        <v>2.7777777777777774E-13</v>
      </c>
      <c r="E61" s="46">
        <f>E$57/1000/1000/60/60</f>
        <v>2.7777777777777777E-10</v>
      </c>
      <c r="F61" s="46">
        <f>F$58/1000/60/60</f>
        <v>2.777777777777778E-07</v>
      </c>
      <c r="G61" s="46">
        <f>G$59/60/60</f>
        <v>0.0002777777777777778</v>
      </c>
      <c r="H61" s="46">
        <f>H$60/60</f>
        <v>0.016666666666666666</v>
      </c>
      <c r="I61" s="45">
        <v>1</v>
      </c>
      <c r="J61" s="46">
        <f>J$62*24</f>
        <v>24</v>
      </c>
      <c r="K61" s="46">
        <f>K$64*14*24</f>
        <v>336</v>
      </c>
      <c r="L61" s="46">
        <f>L$65/12*365*24</f>
        <v>730</v>
      </c>
      <c r="M61" s="46">
        <f>M$66*365*24</f>
        <v>8760</v>
      </c>
      <c r="N61" s="46">
        <f>N$67*366*24</f>
        <v>8784</v>
      </c>
      <c r="O61" s="47">
        <f>O$68*(365+5/24+48/60/24+46/60/60/24)*24</f>
        <v>8765.812777777779</v>
      </c>
      <c r="P61" s="50" t="s">
        <v>30</v>
      </c>
      <c r="Q61" s="30"/>
      <c r="R61" s="30"/>
    </row>
    <row r="62" spans="2:18" ht="12.75" hidden="1">
      <c r="B62" s="9" t="s">
        <v>31</v>
      </c>
      <c r="C62" s="46">
        <f>C$55/1000/1000/1000/1000/60/60/24</f>
        <v>1.1574074074074072E-17</v>
      </c>
      <c r="D62" s="46">
        <f>D$56/1000/1000/1000/60/60/24</f>
        <v>1.1574074074074072E-14</v>
      </c>
      <c r="E62" s="46">
        <f>E$57/1000/1000/60/60/24</f>
        <v>1.1574074074074074E-11</v>
      </c>
      <c r="F62" s="46">
        <f>F$58/1000/60/60/24</f>
        <v>1.1574074074074076E-08</v>
      </c>
      <c r="G62" s="46">
        <f>G$59/60/60/24</f>
        <v>1.1574074074074073E-05</v>
      </c>
      <c r="H62" s="46">
        <f>H$60/60/24</f>
        <v>0.0006944444444444445</v>
      </c>
      <c r="I62" s="46">
        <f>I$61/24</f>
        <v>0.041666666666666664</v>
      </c>
      <c r="J62" s="45">
        <v>1</v>
      </c>
      <c r="K62" s="46">
        <f>K$64*14</f>
        <v>14</v>
      </c>
      <c r="L62" s="46">
        <f>L$65/12*365</f>
        <v>30.416666666666664</v>
      </c>
      <c r="M62" s="46">
        <f>M$66*365</f>
        <v>365</v>
      </c>
      <c r="N62" s="46">
        <f>N$67*366</f>
        <v>366</v>
      </c>
      <c r="O62" s="47">
        <f>O$68*(365+5/24+48/60/24+46/60/60/24)</f>
        <v>365.2421990740741</v>
      </c>
      <c r="P62" s="50" t="s">
        <v>31</v>
      </c>
      <c r="Q62" s="30"/>
      <c r="R62" s="30"/>
    </row>
    <row r="63" spans="2:18" ht="12.75" hidden="1">
      <c r="B63" t="s">
        <v>46</v>
      </c>
      <c r="C63" s="68">
        <f>C$55/1000/1000/1000/1000/60/60/24/7</f>
        <v>1.6534391534391532E-18</v>
      </c>
      <c r="D63" s="68">
        <f>D$56/1000/1000/1000/60/60/24/7</f>
        <v>1.6534391534391532E-15</v>
      </c>
      <c r="E63" s="68">
        <f>E$57/1000/1000/60/60/24/7</f>
        <v>1.6534391534391534E-12</v>
      </c>
      <c r="F63" s="68">
        <f>F$58/1000/60/60/24/7</f>
        <v>1.6534391534391537E-09</v>
      </c>
      <c r="G63" s="68">
        <f>G$59/60/60/24/7</f>
        <v>1.6534391534391533E-06</v>
      </c>
      <c r="H63" s="68">
        <f>H$60/60/24/7</f>
        <v>9.92063492063492E-05</v>
      </c>
      <c r="I63" s="68">
        <f>I$61/24/7</f>
        <v>0.005952380952380952</v>
      </c>
      <c r="J63" s="68">
        <f>J$62/7</f>
        <v>0.14285714285714285</v>
      </c>
      <c r="K63" s="68">
        <f>K$64*2</f>
        <v>2</v>
      </c>
      <c r="L63" s="68">
        <f>L$65/12*365/7</f>
        <v>4.345238095238095</v>
      </c>
      <c r="M63" s="68">
        <f>M$66*365/7</f>
        <v>52.142857142857146</v>
      </c>
      <c r="N63" s="68">
        <f>N$67*366/7</f>
        <v>52.285714285714285</v>
      </c>
      <c r="O63" s="69">
        <f>O$68*(365+5/24+48/60/24+46/60/60/24)/7</f>
        <v>52.17745701058202</v>
      </c>
      <c r="P63" s="50" t="s">
        <v>46</v>
      </c>
      <c r="Q63" s="30"/>
      <c r="R63" s="30"/>
    </row>
    <row r="64" spans="2:18" ht="12.75" hidden="1">
      <c r="B64" t="s">
        <v>37</v>
      </c>
      <c r="C64" s="68">
        <f>C$55/1000/1000/1000/1000/60/60/24/14</f>
        <v>8.267195767195766E-19</v>
      </c>
      <c r="D64" s="68">
        <f>D$56/1000/1000/1000/60/60/24/14</f>
        <v>8.267195767195766E-16</v>
      </c>
      <c r="E64" s="68">
        <f>E$57/1000/1000/60/60/24/14</f>
        <v>8.267195767195767E-13</v>
      </c>
      <c r="F64" s="68">
        <f>F$58/1000/60/60/24/14</f>
        <v>8.267195767195769E-10</v>
      </c>
      <c r="G64" s="68">
        <f>G$59/60/60/24/14</f>
        <v>8.267195767195766E-07</v>
      </c>
      <c r="H64" s="68">
        <f>H$60/60/24/14</f>
        <v>4.96031746031746E-05</v>
      </c>
      <c r="I64" s="68">
        <f>I$61/24/14</f>
        <v>0.002976190476190476</v>
      </c>
      <c r="J64" s="68">
        <f>J$62/14</f>
        <v>0.07142857142857142</v>
      </c>
      <c r="K64" s="45">
        <v>1</v>
      </c>
      <c r="L64" s="68">
        <f>L$65/12*365/14</f>
        <v>2.1726190476190474</v>
      </c>
      <c r="M64" s="68">
        <f>M$66*365/14</f>
        <v>26.071428571428573</v>
      </c>
      <c r="N64" s="68">
        <f>N$67*366/14</f>
        <v>26.142857142857142</v>
      </c>
      <c r="O64" s="69">
        <f>O$68*(365+5/24+48/60/24+46/60/60/24)/14</f>
        <v>26.08872850529101</v>
      </c>
      <c r="P64" s="50" t="s">
        <v>37</v>
      </c>
      <c r="Q64" s="30"/>
      <c r="R64" s="30"/>
    </row>
    <row r="65" spans="2:18" ht="12.75" hidden="1">
      <c r="B65" s="9" t="s">
        <v>47</v>
      </c>
      <c r="C65" s="79">
        <f>C$55/1000/1000/1000/1000/60/60/24/365*12</f>
        <v>3.8051750380517496E-19</v>
      </c>
      <c r="D65" s="46">
        <f>D$56/1000/1000/1000/60/60/24/365*12</f>
        <v>3.80517503805175E-16</v>
      </c>
      <c r="E65" s="46">
        <f>E$57/1000/1000/60/60/24/365*12</f>
        <v>3.80517503805175E-13</v>
      </c>
      <c r="F65" s="46">
        <f>F$58/1000/60/60/24/365*12</f>
        <v>3.8051750380517513E-10</v>
      </c>
      <c r="G65" s="46">
        <f>G$59/60/60/24/365*12</f>
        <v>3.8051750380517503E-07</v>
      </c>
      <c r="H65" s="46">
        <f>H$60/60/24/365*12</f>
        <v>2.2831050228310503E-05</v>
      </c>
      <c r="I65" s="46">
        <f>I$61/24/365*12</f>
        <v>0.0013698630136986301</v>
      </c>
      <c r="J65" s="46">
        <f>J$62/365*12</f>
        <v>0.03287671232876713</v>
      </c>
      <c r="K65" s="46">
        <f>K$64*14/365*12</f>
        <v>0.4602739726027397</v>
      </c>
      <c r="L65" s="45">
        <v>1</v>
      </c>
      <c r="M65" s="46">
        <f>M$66*12</f>
        <v>12</v>
      </c>
      <c r="N65" s="46">
        <f>N$67*12</f>
        <v>12</v>
      </c>
      <c r="O65" s="47">
        <f>O$68*12</f>
        <v>12</v>
      </c>
      <c r="P65" s="50" t="s">
        <v>48</v>
      </c>
      <c r="Q65" s="30"/>
      <c r="R65" s="30"/>
    </row>
    <row r="66" spans="2:18" ht="12.75" hidden="1">
      <c r="B66" s="9" t="s">
        <v>35</v>
      </c>
      <c r="C66" s="46">
        <f>C$55/1000/1000/1000/1000/60/60/24/365</f>
        <v>3.170979198376458E-20</v>
      </c>
      <c r="D66" s="46">
        <f>D$56/1000/1000/1000/60/60/24/365</f>
        <v>3.170979198376458E-17</v>
      </c>
      <c r="E66" s="46">
        <f>E$57/1000/1000/60/60/24/365</f>
        <v>3.1709791983764584E-14</v>
      </c>
      <c r="F66" s="46">
        <f>F$58/1000/60/60/24/365</f>
        <v>3.170979198376459E-11</v>
      </c>
      <c r="G66" s="46">
        <f>G$59/60/60/24/365</f>
        <v>3.1709791983764586E-08</v>
      </c>
      <c r="H66" s="46">
        <f>H$60/60/24/365</f>
        <v>1.9025875190258753E-06</v>
      </c>
      <c r="I66" s="46">
        <f>I$61/24/365</f>
        <v>0.00011415525114155251</v>
      </c>
      <c r="J66" s="46">
        <f>J$62/365</f>
        <v>0.0027397260273972603</v>
      </c>
      <c r="K66" s="46">
        <f>K$64*14/365</f>
        <v>0.038356164383561646</v>
      </c>
      <c r="L66" s="46">
        <f>L$65/12</f>
        <v>0.08333333333333333</v>
      </c>
      <c r="M66" s="45">
        <v>1</v>
      </c>
      <c r="N66" s="46">
        <f>N$67*366/365</f>
        <v>1.0027397260273974</v>
      </c>
      <c r="O66" s="47">
        <f>O$68*(365+5/24+48/60/24+46/60/60/24)/365</f>
        <v>1.0006635591070523</v>
      </c>
      <c r="P66" s="50" t="s">
        <v>35</v>
      </c>
      <c r="Q66" s="30"/>
      <c r="R66" s="30"/>
    </row>
    <row r="67" spans="2:18" ht="12.75" hidden="1">
      <c r="B67" t="s">
        <v>32</v>
      </c>
      <c r="C67" s="68">
        <f>C$55/1000/1000/1000/1000/60/60/24/366</f>
        <v>3.1623153207852657E-20</v>
      </c>
      <c r="D67" s="68">
        <f>D$56/1000/1000/1000/60/60/24/366</f>
        <v>3.162315320785266E-17</v>
      </c>
      <c r="E67" s="68">
        <f>E$57/1000/1000/60/60/24/366</f>
        <v>3.162315320785266E-14</v>
      </c>
      <c r="F67" s="68">
        <f>F$58/1000/60/60/24/366</f>
        <v>3.1623153207852666E-11</v>
      </c>
      <c r="G67" s="68">
        <f>G$59/60/60/24/366</f>
        <v>3.162315320785266E-08</v>
      </c>
      <c r="H67" s="68">
        <f>H$60/60/24/366</f>
        <v>1.8973891924711598E-06</v>
      </c>
      <c r="I67" s="68">
        <f>I$61/24/366</f>
        <v>0.00011384335154826958</v>
      </c>
      <c r="J67" s="68">
        <f>J$62/366</f>
        <v>0.00273224043715847</v>
      </c>
      <c r="K67" s="68">
        <f>K$64*14/366</f>
        <v>0.03825136612021858</v>
      </c>
      <c r="L67" s="68">
        <f>L$65/12</f>
        <v>0.08333333333333333</v>
      </c>
      <c r="M67" s="68">
        <f>M$66*365/366</f>
        <v>0.9972677595628415</v>
      </c>
      <c r="N67" s="45">
        <v>1</v>
      </c>
      <c r="O67" s="69">
        <f>O$68*(365+5/24+48/60/24+46/60/60/24)/366</f>
        <v>0.9979295056668691</v>
      </c>
      <c r="P67" s="50" t="s">
        <v>32</v>
      </c>
      <c r="Q67" s="30"/>
      <c r="R67" s="30"/>
    </row>
    <row r="68" spans="1:18" ht="13.5" hidden="1" thickBot="1">
      <c r="A68" s="4"/>
      <c r="B68" s="4" t="s">
        <v>36</v>
      </c>
      <c r="C68" s="80">
        <f>C$55/1000/1000/1000/1000/60/60/24/(365+5/24+48/60/24+46/60/60/24)</f>
        <v>3.1688764615412785E-20</v>
      </c>
      <c r="D68" s="80">
        <f>D$56/1000/1000/1000/60/60/24/(365+5/24+48/60/24+46/60/60/24)</f>
        <v>3.1688764615412785E-17</v>
      </c>
      <c r="E68" s="80">
        <f>E$57/1000/1000/60/60/24/(365+5/24+48/60/24+46/60/60/24)</f>
        <v>3.1688764615412787E-14</v>
      </c>
      <c r="F68" s="80">
        <f>F$58/1000/60/60/24/(365+5/24+48/60/24+46/60/60/24)</f>
        <v>3.168876461541279E-11</v>
      </c>
      <c r="G68" s="80">
        <f>G$59/60/60/24/(365+5/24+48/60/24+46/60/60/24)</f>
        <v>3.168876461541279E-08</v>
      </c>
      <c r="H68" s="80">
        <f>H$60/60/24/(365+5/24+48/60/24+46/60/60/24)</f>
        <v>1.9013258769247675E-06</v>
      </c>
      <c r="I68" s="80">
        <f>I$61/24/(365+5/24+48/60/24+46/60/60/24)</f>
        <v>0.00011407955261548604</v>
      </c>
      <c r="J68" s="80">
        <f>J$62/(365+5/24+48/60/24+46/60/60/24)</f>
        <v>0.0027379092627716653</v>
      </c>
      <c r="K68" s="80">
        <f>K$64*14/(365+5/24+48/60/24+46/60/60/24)</f>
        <v>0.03833072967880331</v>
      </c>
      <c r="L68" s="80">
        <f>L$65/12</f>
        <v>0.08333333333333333</v>
      </c>
      <c r="M68" s="80">
        <f>M$66*365/(365+5/24+48/60/24+46/60/60/24)</f>
        <v>0.9993368809116577</v>
      </c>
      <c r="N68" s="80">
        <f>N$67*366/(365+5/24+48/60/24+46/60/60/24)</f>
        <v>1.0020747901744294</v>
      </c>
      <c r="O68" s="55">
        <v>1</v>
      </c>
      <c r="P68" s="81" t="s">
        <v>36</v>
      </c>
      <c r="Q68" s="30"/>
      <c r="R68" s="30"/>
    </row>
    <row r="69" spans="3:18" ht="12.75" hidden="1">
      <c r="C69" s="30" t="s">
        <v>45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3:18" ht="12.75" hidden="1">
      <c r="C70" s="30" t="s">
        <v>100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ht="12.75" hidden="1">
      <c r="C71" s="30" t="s">
        <v>101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ht="12.75" hidden="1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s="6" customFormat="1" ht="26.25" hidden="1" thickBot="1" thickTop="1">
      <c r="A73" s="14"/>
      <c r="B73" s="15" t="s">
        <v>34</v>
      </c>
      <c r="C73" s="38" t="s">
        <v>51</v>
      </c>
      <c r="D73" s="38" t="s">
        <v>52</v>
      </c>
      <c r="E73" s="38" t="s">
        <v>53</v>
      </c>
      <c r="F73" s="38" t="s">
        <v>54</v>
      </c>
      <c r="G73" s="38" t="s">
        <v>55</v>
      </c>
      <c r="H73" s="38" t="s">
        <v>56</v>
      </c>
      <c r="I73" s="57" t="s">
        <v>57</v>
      </c>
      <c r="J73" s="66" t="s">
        <v>34</v>
      </c>
      <c r="K73" s="43"/>
      <c r="L73" s="43"/>
      <c r="M73" s="43"/>
      <c r="N73" s="43"/>
      <c r="O73" s="43"/>
      <c r="P73" s="44"/>
      <c r="Q73" s="43"/>
      <c r="R73" s="43"/>
    </row>
    <row r="74" spans="1:18" ht="12.75" hidden="1">
      <c r="A74" s="13"/>
      <c r="B74" s="10" t="s">
        <v>79</v>
      </c>
      <c r="C74" s="45">
        <v>1</v>
      </c>
      <c r="D74" s="46">
        <f>D$75*4</f>
        <v>4</v>
      </c>
      <c r="E74" s="46">
        <f>E$76*8</f>
        <v>8</v>
      </c>
      <c r="F74" s="70">
        <f>F$77*1024*8</f>
        <v>8192</v>
      </c>
      <c r="G74" s="70">
        <f>G$78*1024*1024*8</f>
        <v>8388608</v>
      </c>
      <c r="H74" s="70">
        <f>H$79*1024*1024*1024*8</f>
        <v>8589934592</v>
      </c>
      <c r="I74" s="47">
        <f>I$80*1024*1024*1024*1024*8</f>
        <v>8796093022208</v>
      </c>
      <c r="J74" s="48" t="s">
        <v>79</v>
      </c>
      <c r="K74" s="30"/>
      <c r="L74" s="30"/>
      <c r="M74" s="30"/>
      <c r="N74" s="30"/>
      <c r="O74" s="30"/>
      <c r="P74" s="30"/>
      <c r="Q74" s="30"/>
      <c r="R74" s="30"/>
    </row>
    <row r="75" spans="1:18" ht="12.75" hidden="1">
      <c r="A75" s="13"/>
      <c r="B75" s="10" t="s">
        <v>33</v>
      </c>
      <c r="C75" s="46">
        <f>C$74/4</f>
        <v>0.25</v>
      </c>
      <c r="D75" s="45">
        <v>1</v>
      </c>
      <c r="E75" s="46">
        <f>E$76*2</f>
        <v>2</v>
      </c>
      <c r="F75" s="70">
        <f>F$77*1024*2</f>
        <v>2048</v>
      </c>
      <c r="G75" s="70">
        <f>G$78*1024*1024*2</f>
        <v>2097152</v>
      </c>
      <c r="H75" s="70">
        <f>H$79*1024*1024*1024*2</f>
        <v>2147483648</v>
      </c>
      <c r="I75" s="47">
        <f>I$80*1024*1024*1024*1024*2</f>
        <v>2199023255552</v>
      </c>
      <c r="J75" s="48" t="s">
        <v>33</v>
      </c>
      <c r="K75" s="29"/>
      <c r="L75" s="29"/>
      <c r="M75" s="29"/>
      <c r="N75" s="29"/>
      <c r="O75" s="29"/>
      <c r="P75" s="29"/>
      <c r="Q75" s="29"/>
      <c r="R75" s="29"/>
    </row>
    <row r="76" spans="1:18" ht="12.75" hidden="1">
      <c r="A76" s="13"/>
      <c r="B76" s="13" t="s">
        <v>80</v>
      </c>
      <c r="C76" s="68">
        <f>C$74/8</f>
        <v>0.125</v>
      </c>
      <c r="D76" s="68">
        <f>D$75/2</f>
        <v>0.5</v>
      </c>
      <c r="E76" s="45">
        <v>1</v>
      </c>
      <c r="F76" s="67">
        <f>F$77*1024</f>
        <v>1024</v>
      </c>
      <c r="G76" s="67">
        <f>G$78*1024*1024</f>
        <v>1048576</v>
      </c>
      <c r="H76" s="67">
        <f>H$79*1024*1024*1024</f>
        <v>1073741824</v>
      </c>
      <c r="I76" s="69">
        <f>I$80*1024*1024*1024*1024</f>
        <v>1099511627776</v>
      </c>
      <c r="J76" s="50" t="s">
        <v>80</v>
      </c>
      <c r="K76" s="29"/>
      <c r="L76" s="29"/>
      <c r="M76" s="29"/>
      <c r="N76" s="29"/>
      <c r="O76" s="29"/>
      <c r="P76" s="29"/>
      <c r="Q76" s="29"/>
      <c r="R76" s="29"/>
    </row>
    <row r="77" spans="1:18" ht="12.75" hidden="1">
      <c r="A77" s="13"/>
      <c r="B77" s="13" t="s">
        <v>75</v>
      </c>
      <c r="C77" s="68">
        <f>C$74/8/1024</f>
        <v>0.0001220703125</v>
      </c>
      <c r="D77" s="68">
        <f>D$75/2/1024</f>
        <v>0.00048828125</v>
      </c>
      <c r="E77" s="68">
        <f>E$76/1024</f>
        <v>0.0009765625</v>
      </c>
      <c r="F77" s="45">
        <v>1</v>
      </c>
      <c r="G77" s="67">
        <f>G$78*1024</f>
        <v>1024</v>
      </c>
      <c r="H77" s="67">
        <f>H$79*1024*1024</f>
        <v>1048576</v>
      </c>
      <c r="I77" s="78">
        <f>I$80*1024*1024*1024</f>
        <v>1073741824</v>
      </c>
      <c r="J77" s="50" t="s">
        <v>75</v>
      </c>
      <c r="K77" s="29"/>
      <c r="L77" s="29"/>
      <c r="M77" s="29"/>
      <c r="N77" s="29"/>
      <c r="O77" s="29"/>
      <c r="P77" s="29"/>
      <c r="Q77" s="29"/>
      <c r="R77" s="29"/>
    </row>
    <row r="78" spans="1:18" ht="12.75" hidden="1">
      <c r="A78" s="13"/>
      <c r="B78" s="10" t="s">
        <v>76</v>
      </c>
      <c r="C78" s="46">
        <f>C$74/8/1024/1024</f>
        <v>1.1920928955078125E-07</v>
      </c>
      <c r="D78" s="46">
        <f>D$75/2/1024/1024</f>
        <v>4.76837158203125E-07</v>
      </c>
      <c r="E78" s="46">
        <f>E$76/1024/1024</f>
        <v>9.5367431640625E-07</v>
      </c>
      <c r="F78" s="46">
        <f>F$77/1024</f>
        <v>0.0009765625</v>
      </c>
      <c r="G78" s="45">
        <v>1</v>
      </c>
      <c r="H78" s="70">
        <f>H$79*1024</f>
        <v>1024</v>
      </c>
      <c r="I78" s="72">
        <f>I$80*1024*1024</f>
        <v>1048576</v>
      </c>
      <c r="J78" s="48" t="s">
        <v>76</v>
      </c>
      <c r="K78" s="29"/>
      <c r="L78" s="29"/>
      <c r="M78" s="29"/>
      <c r="N78" s="29"/>
      <c r="O78" s="29"/>
      <c r="P78" s="29"/>
      <c r="Q78" s="29"/>
      <c r="R78" s="29"/>
    </row>
    <row r="79" spans="1:18" ht="12.75" hidden="1">
      <c r="A79" s="13"/>
      <c r="B79" s="10" t="s">
        <v>77</v>
      </c>
      <c r="C79" s="46">
        <f>C$74/8/1024/1024/1024</f>
        <v>1.1641532182693481E-10</v>
      </c>
      <c r="D79" s="46">
        <f>D$75/2/1024/1024/1024</f>
        <v>4.656612873077393E-10</v>
      </c>
      <c r="E79" s="46">
        <f>E$76/1024/1024/1024</f>
        <v>9.313225746154785E-10</v>
      </c>
      <c r="F79" s="46">
        <f>F$77/1024/1024</f>
        <v>9.5367431640625E-07</v>
      </c>
      <c r="G79" s="46">
        <f>G$78/1024</f>
        <v>0.0009765625</v>
      </c>
      <c r="H79" s="45">
        <v>1</v>
      </c>
      <c r="I79" s="72">
        <f>I$80*1024</f>
        <v>1024</v>
      </c>
      <c r="J79" s="48" t="s">
        <v>77</v>
      </c>
      <c r="K79" s="29"/>
      <c r="L79" s="29"/>
      <c r="M79" s="29"/>
      <c r="N79" s="29"/>
      <c r="O79" s="29"/>
      <c r="P79" s="29"/>
      <c r="Q79" s="29"/>
      <c r="R79" s="29"/>
    </row>
    <row r="80" spans="1:18" ht="13.5" hidden="1" thickBot="1">
      <c r="A80" s="4"/>
      <c r="B80" s="4" t="s">
        <v>78</v>
      </c>
      <c r="C80" s="80">
        <f>C$74/8/1024/1024/1024/1024</f>
        <v>1.1368683772161603E-13</v>
      </c>
      <c r="D80" s="80">
        <f>D$75/2/1024/1024/1024/1024</f>
        <v>4.547473508864641E-13</v>
      </c>
      <c r="E80" s="80">
        <f>E$76/1024/1024/1024/1024</f>
        <v>9.094947017729282E-13</v>
      </c>
      <c r="F80" s="80">
        <f>F$77/1024/1024/1024</f>
        <v>9.313225746154785E-10</v>
      </c>
      <c r="G80" s="80">
        <f>G$78/1024/1024</f>
        <v>9.5367431640625E-07</v>
      </c>
      <c r="H80" s="80">
        <f>H$79/1024</f>
        <v>0.0009765625</v>
      </c>
      <c r="I80" s="55">
        <v>1</v>
      </c>
      <c r="J80" s="81" t="s">
        <v>78</v>
      </c>
      <c r="K80" s="29"/>
      <c r="L80" s="29"/>
      <c r="M80" s="29"/>
      <c r="N80" s="29"/>
      <c r="O80" s="29"/>
      <c r="P80" s="29"/>
      <c r="Q80" s="29"/>
      <c r="R80" s="29"/>
    </row>
    <row r="81" spans="3:18" ht="12.75" hidden="1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3:18" ht="12.75" hidden="1">
      <c r="C82" s="30" t="s">
        <v>39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ht="12.75" hidden="1">
      <c r="C83" s="30" t="s">
        <v>40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3:18" ht="12.75" hidden="1">
      <c r="C84" s="30" t="s">
        <v>50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ht="12.75" hidden="1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3:18" s="6" customFormat="1" ht="13.5" hidden="1" thickTop="1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3:18" ht="12.75" hidden="1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2:18" ht="23.25" hidden="1">
      <c r="B88" s="20" t="s">
        <v>103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2:18" ht="12.75" hidden="1">
      <c r="B89" s="19">
        <v>37925</v>
      </c>
      <c r="C89" s="30" t="s">
        <v>102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2:18" ht="12.75" hidden="1">
      <c r="B90" s="19">
        <v>38433</v>
      </c>
      <c r="C90" s="30" t="s">
        <v>104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2:18" ht="12.75" hidden="1">
      <c r="B91" s="19"/>
      <c r="C91" s="30" t="s">
        <v>105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3:18" ht="12.75" hidden="1">
      <c r="C92" s="30" t="s">
        <v>106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3:18" ht="12.75" hidden="1">
      <c r="C93" s="30" t="s">
        <v>107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3:18" ht="12.75" hidden="1">
      <c r="C94" s="30" t="s">
        <v>108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3:18" ht="12.75" hidden="1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3:18" ht="12.75" hidden="1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3:18" ht="12.75" hidden="1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3:18" ht="12.75" hidden="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3:18" ht="12.75" hidden="1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3:18" ht="12.75" hidden="1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3:18" ht="12.75" hidden="1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3:18" ht="12.75" hidden="1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3:18" ht="12.75" hidden="1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3:18" ht="12.75" hidden="1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3:18" ht="12.75" hidden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3:18" ht="12.75" hidden="1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3:18" ht="12.75" hidden="1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3:18" ht="12.75" hidden="1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3:18" ht="12.75" hidden="1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3:18" ht="12.7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t="s">
        <v>138</v>
      </c>
      <c r="C111" s="30"/>
      <c r="D111" s="30"/>
      <c r="E111" s="21" t="s">
        <v>137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3:18" ht="12.7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3:18" ht="12.7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</sheetData>
  <sheetProtection sheet="1" objects="1" scenarios="1" formatCells="0" formatColumns="0" formatRows="0"/>
  <mergeCells count="8">
    <mergeCell ref="A47:A49"/>
    <mergeCell ref="A15:A17"/>
    <mergeCell ref="A18:A20"/>
    <mergeCell ref="A30:A35"/>
    <mergeCell ref="A5:A9"/>
    <mergeCell ref="A10:A12"/>
    <mergeCell ref="A36:A38"/>
    <mergeCell ref="A44:A46"/>
  </mergeCells>
  <hyperlinks>
    <hyperlink ref="F28" r:id="rId1" display="http://www.digitaldutch.com/unitconverter/length.htm"/>
    <hyperlink ref="E111" r:id="rId2" display="http://www.megaconverter.com/mega2/"/>
  </hyperlinks>
  <printOptions/>
  <pageMargins left="0.75" right="0.75" top="1" bottom="1" header="0.5" footer="0.5"/>
  <pageSetup horizontalDpi="600" verticalDpi="600" orientation="portrait" r:id="rId5"/>
  <ignoredErrors>
    <ignoredError sqref="C6 D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eLivermore.com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Bill's Conversion Spreadsheet</dc:title>
  <dc:subject/>
  <dc:creator>Bill Nale</dc:creator>
  <cp:keywords/>
  <dc:description/>
  <cp:lastModifiedBy>bdrach</cp:lastModifiedBy>
  <dcterms:created xsi:type="dcterms:W3CDTF">2003-08-29T20:28:41Z</dcterms:created>
  <dcterms:modified xsi:type="dcterms:W3CDTF">2008-08-28T16:20:05Z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